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0" windowWidth="18960" windowHeight="11400" tabRatio="943" activeTab="1"/>
  </bookViews>
  <sheets>
    <sheet name="총칙 " sheetId="1" r:id="rId1"/>
    <sheet name="총괄표(합산)" sheetId="2" r:id="rId2"/>
    <sheet name="2020년추경예산안수입(대전+의정부) " sheetId="3" r:id="rId3"/>
    <sheet name="2020년추가경정예산안지출(대전+의정부)" sheetId="4" r:id="rId4"/>
    <sheet name="총괄표(대전)" sheetId="5" r:id="rId5"/>
    <sheet name="2020년추경예산안수입(대전)" sheetId="6" r:id="rId6"/>
    <sheet name="2020년추가경정예산안지출(대전)" sheetId="7" r:id="rId7"/>
    <sheet name="총괄표(의정부)" sheetId="8" r:id="rId8"/>
    <sheet name="2020년추경예산안수입 (의정부)" sheetId="9" r:id="rId9"/>
    <sheet name="2020년추경예산안지출 (의정부)" sheetId="10" r:id="rId10"/>
    <sheet name="20년 추경수입 (대전+의정부)" sheetId="11" r:id="rId11"/>
    <sheet name="20년 추경지출(대전+의정부)" sheetId="12" r:id="rId12"/>
    <sheet name="20년 추경수입(대전)" sheetId="13" r:id="rId13"/>
    <sheet name="20년 추경지출(대전)" sheetId="14" r:id="rId14"/>
    <sheet name="20년 추경수입(의정부)" sheetId="15" r:id="rId15"/>
    <sheet name="20년 추경지출(의정부)" sheetId="16" r:id="rId16"/>
    <sheet name="Sheet8" sheetId="17" r:id="rId17"/>
    <sheet name="2020년예산서수입" sheetId="18" r:id="rId18"/>
    <sheet name="2020년예산서지출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df" localSheetId="1">'[1]교비지출'!#REF!</definedName>
    <definedName name="df">'[1]교비지출'!#REF!</definedName>
    <definedName name="iv" localSheetId="3">'[1]교비지출'!#REF!</definedName>
    <definedName name="iv" localSheetId="8">'[1]교비지출'!#REF!</definedName>
    <definedName name="iv" localSheetId="2">'[1]교비지출'!#REF!</definedName>
    <definedName name="iv" localSheetId="9">'[1]교비지출'!#REF!</definedName>
    <definedName name="iv" localSheetId="10">'[1]교비지출'!#REF!</definedName>
    <definedName name="iv" localSheetId="14">'[1]교비지출'!#REF!</definedName>
    <definedName name="iv" localSheetId="11">'[1]교비지출'!#REF!</definedName>
    <definedName name="iv" localSheetId="15">'[1]교비지출'!#REF!</definedName>
    <definedName name="iv" localSheetId="7">'[1]교비지출'!#REF!</definedName>
    <definedName name="iv" localSheetId="1">'[1]교비지출'!#REF!</definedName>
    <definedName name="iv">'[1]교비지출'!#REF!</definedName>
    <definedName name="_xlnm.Print_Area" localSheetId="17">'2020년예산서수입'!$A$1:$I$107</definedName>
    <definedName name="_xlnm.Print_Area" localSheetId="18">'2020년예산서지출'!$A$1:$I$182</definedName>
    <definedName name="_xlnm.Print_Area" localSheetId="6">'2020년추가경정예산안지출(대전)'!$A$1:$I$196</definedName>
    <definedName name="_xlnm.Print_Area" localSheetId="3">'2020년추가경정예산안지출(대전+의정부)'!$A$1:$I$198</definedName>
    <definedName name="_xlnm.Print_Area" localSheetId="8">'2020년추경예산안수입 (의정부)'!$A$1:$I$62</definedName>
    <definedName name="_xlnm.Print_Area" localSheetId="5">'2020년추경예산안수입(대전)'!$A$1:$I$106</definedName>
    <definedName name="_xlnm.Print_Area" localSheetId="2">'2020년추경예산안수입(대전+의정부) '!$A$1:$I$108</definedName>
    <definedName name="_xlnm.Print_Area" localSheetId="9">'2020년추경예산안지출 (의정부)'!$A$1:$I$120</definedName>
    <definedName name="_xlnm.Print_Area" localSheetId="10">'20년 추경수입 (대전+의정부)'!$A$1:$J$53</definedName>
    <definedName name="_xlnm.Print_Area" localSheetId="14">'20년 추경수입(의정부)'!$A$1:$J$53</definedName>
    <definedName name="_xlnm.Print_Area" localSheetId="13">'20년 추경지출(대전)'!$A$1:$J$110</definedName>
    <definedName name="_xlnm.Print_Area" localSheetId="11">'20년 추경지출(대전+의정부)'!$A$1:$J$111</definedName>
    <definedName name="_xlnm.Print_Area" localSheetId="15">'20년 추경지출(의정부)'!$A$1:$J$110</definedName>
    <definedName name="_xlnm.Print_Area" localSheetId="4">'총괄표(대전)'!$A$1:$N$20</definedName>
    <definedName name="_xlnm.Print_Area" localSheetId="7">'총괄표(의정부)'!$A$1:$N$17</definedName>
    <definedName name="_xlnm.Print_Area" localSheetId="1">'총괄표(합산)'!$A$1:$N$20</definedName>
    <definedName name="_xlnm.Print_Area" localSheetId="0">'총칙 '!$A$1:$A$56</definedName>
    <definedName name="_xlnm.Print_Titles" localSheetId="17">'2020년예산서수입'!$5:$6</definedName>
    <definedName name="_xlnm.Print_Titles" localSheetId="18">'2020년예산서지출'!$3:$4</definedName>
    <definedName name="_xlnm.Print_Titles" localSheetId="6">'2020년추가경정예산안지출(대전)'!$3:$4</definedName>
    <definedName name="_xlnm.Print_Titles" localSheetId="3">'2020년추가경정예산안지출(대전+의정부)'!$3:$4</definedName>
    <definedName name="_xlnm.Print_Titles" localSheetId="8">'2020년추경예산안수입 (의정부)'!$5:$6</definedName>
    <definedName name="_xlnm.Print_Titles" localSheetId="5">'2020년추경예산안수입(대전)'!$5:$6</definedName>
    <definedName name="_xlnm.Print_Titles" localSheetId="2">'2020년추경예산안수입(대전+의정부) '!$5:$6</definedName>
    <definedName name="_xlnm.Print_Titles" localSheetId="9">'2020년추경예산안지출 (의정부)'!$3:$4</definedName>
    <definedName name="_xlnm.Print_Titles" localSheetId="11">'20년 추경지출(대전+의정부)'!$1:$5</definedName>
    <definedName name="_xlnm.Print_Titles" localSheetId="15">'20년 추경지출(의정부)'!$4:$5</definedName>
    <definedName name="yu" localSheetId="1">'[1]교비지출'!#REF!</definedName>
    <definedName name="yu">'[1]교비지출'!#REF!</definedName>
    <definedName name="ㄹㄹ" localSheetId="3">'[1]교비지출'!#REF!</definedName>
    <definedName name="ㄹㄹ" localSheetId="2">'[1]교비지출'!#REF!</definedName>
    <definedName name="ㄹㄹ" localSheetId="1">'[1]교비지출'!#REF!</definedName>
    <definedName name="ㄹㄹ">'[1]교비지출'!#REF!</definedName>
    <definedName name="수식" localSheetId="1">'[1]교비지출'!#REF!</definedName>
    <definedName name="수식">'[1]교비지출'!#REF!</definedName>
    <definedName name="총괄표" localSheetId="1">'[1]교비지출'!#REF!</definedName>
    <definedName name="총괄표">'[1]교비지출'!#REF!</definedName>
    <definedName name="ㅏㅓ" localSheetId="3">'[1]교비지출'!#REF!</definedName>
    <definedName name="ㅏㅓ" localSheetId="2">'[1]교비지출'!#REF!</definedName>
    <definedName name="ㅏㅓ" localSheetId="1">'[1]교비지출'!#REF!</definedName>
    <definedName name="ㅏㅓ">'[1]교비지출'!#REF!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I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시설관리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교환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기타용역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96" authorId="0">
      <text>
        <r>
          <rPr>
            <b/>
            <sz val="11"/>
            <rFont val="돋움"/>
            <family val="3"/>
          </rPr>
          <t xml:space="preserve">일반비품 포함
</t>
        </r>
      </text>
    </comment>
  </commentList>
</comments>
</file>

<file path=xl/comments14.xml><?xml version="1.0" encoding="utf-8"?>
<comments xmlns="http://schemas.openxmlformats.org/spreadsheetml/2006/main">
  <authors>
    <author>eulji</author>
    <author>user</author>
  </authors>
  <commentList>
    <comment ref="F19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20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21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22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23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24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34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36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37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38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39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0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1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2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3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4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6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7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48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51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52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53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54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64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69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72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75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76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77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80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83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85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86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88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91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F92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C95" authorId="1">
      <text>
        <r>
          <rPr>
            <b/>
            <sz val="11"/>
            <rFont val="돋움"/>
            <family val="3"/>
          </rPr>
          <t xml:space="preserve">일반비품 포함
</t>
        </r>
      </text>
    </comment>
    <comment ref="F101" authorId="0">
      <text>
        <r>
          <rPr>
            <b/>
            <sz val="9"/>
            <rFont val="돋움"/>
            <family val="3"/>
          </rPr>
          <t>월평균 7억
수당 4억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E53" authorId="0">
      <text>
        <r>
          <rPr>
            <b/>
            <sz val="9"/>
            <rFont val="돋움"/>
            <family val="3"/>
          </rPr>
          <t>전기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결산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유동자산</t>
        </r>
        <r>
          <rPr>
            <b/>
            <sz val="9"/>
            <rFont val="Tahoma"/>
            <family val="2"/>
          </rPr>
          <t>-</t>
        </r>
        <r>
          <rPr>
            <b/>
            <sz val="9"/>
            <rFont val="돋움"/>
            <family val="3"/>
          </rPr>
          <t xml:space="preserve">비유동자산
</t>
        </r>
      </text>
    </comment>
  </commentList>
</comments>
</file>

<file path=xl/comments16.xml><?xml version="1.0" encoding="utf-8"?>
<comments xmlns="http://schemas.openxmlformats.org/spreadsheetml/2006/main">
  <authors>
    <author>eulji</author>
    <author>user</author>
  </authors>
  <commentList>
    <comment ref="F11" authorId="0">
      <text>
        <r>
          <rPr>
            <b/>
            <sz val="9"/>
            <rFont val="돋움"/>
            <family val="3"/>
          </rPr>
          <t>월평균 7억
수당 4억</t>
        </r>
      </text>
    </comment>
    <comment ref="C95" authorId="1">
      <text>
        <r>
          <rPr>
            <b/>
            <sz val="11"/>
            <rFont val="돋움"/>
            <family val="3"/>
          </rPr>
          <t xml:space="preserve">일반비품 포함
</t>
        </r>
      </text>
    </comment>
  </commentList>
</comments>
</file>

<file path=xl/comments18.xml><?xml version="1.0" encoding="utf-8"?>
<comments xmlns="http://schemas.openxmlformats.org/spreadsheetml/2006/main">
  <authors>
    <author>Master</author>
    <author>user</author>
  </authors>
  <commentList>
    <comment ref="I26" authorId="0">
      <text>
        <r>
          <rPr>
            <b/>
            <sz val="9"/>
            <rFont val="굴림"/>
            <family val="3"/>
          </rPr>
          <t xml:space="preserve">=102,124,856천원(추경자료)*101.42%
- 2010년 수가인상 환산지수(1.42%)
   (63.4-&gt;64.3) </t>
        </r>
      </text>
    </comment>
    <comment ref="I45" authorId="0">
      <text>
        <r>
          <rPr>
            <b/>
            <sz val="9"/>
            <rFont val="굴림"/>
            <family val="3"/>
          </rPr>
          <t xml:space="preserve">=52,504,996천원(추경자료)*101.42%
- 2010년 수가인상 환산지수(1.42%)
   (63.4-&gt;64.3) </t>
        </r>
      </text>
    </comment>
    <comment ref="I50" authorId="0">
      <text>
        <r>
          <rPr>
            <b/>
            <sz val="9"/>
            <rFont val="굴림"/>
            <family val="3"/>
          </rPr>
          <t>추경*3%(인상)</t>
        </r>
      </text>
    </comment>
    <comment ref="D10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결산자금계산서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차기이월자금</t>
        </r>
      </text>
    </comment>
  </commentList>
</comments>
</file>

<file path=xl/comments19.xml><?xml version="1.0" encoding="utf-8"?>
<comments xmlns="http://schemas.openxmlformats.org/spreadsheetml/2006/main">
  <authors>
    <author>Master</author>
    <author>user</author>
  </authors>
  <commentList>
    <comment ref="I16" authorId="0">
      <text>
        <r>
          <rPr>
            <b/>
            <sz val="9"/>
            <rFont val="굴림"/>
            <family val="3"/>
          </rPr>
          <t>추경(16,100,000)x1%</t>
        </r>
      </text>
    </comment>
    <comment ref="I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추경</t>
        </r>
        <r>
          <rPr>
            <sz val="9"/>
            <rFont val="Tahoma"/>
            <family val="2"/>
          </rPr>
          <t>(10,400,000) x 1%</t>
        </r>
      </text>
    </comment>
    <comment ref="I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추경</t>
        </r>
        <r>
          <rPr>
            <sz val="9"/>
            <rFont val="Tahoma"/>
            <family val="2"/>
          </rPr>
          <t>(18,000,000) x 0%</t>
        </r>
      </text>
    </comment>
    <comment ref="I34" authorId="0">
      <text>
        <r>
          <rPr>
            <b/>
            <sz val="9"/>
            <rFont val="굴림"/>
            <family val="3"/>
          </rPr>
          <t>추경(4,750,000)*2%</t>
        </r>
      </text>
    </comment>
    <comment ref="I3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추경(395,000) x 2%</t>
        </r>
      </text>
    </comment>
    <comment ref="I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추경(813,000) x 2%</t>
        </r>
      </text>
    </comment>
    <comment ref="I58" authorId="0">
      <text>
        <r>
          <rPr>
            <b/>
            <sz val="9"/>
            <rFont val="굴림"/>
            <family val="3"/>
          </rPr>
          <t>추경()*%</t>
        </r>
      </text>
    </comment>
    <comment ref="I68" authorId="0">
      <text>
        <r>
          <rPr>
            <b/>
            <sz val="9"/>
            <rFont val="굴림"/>
            <family val="3"/>
          </rPr>
          <t xml:space="preserve">
추경(270,010)*0%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C15" authorId="0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돋움"/>
            <family val="3"/>
          </rPr>
          <t>사용자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차기이월자금
</t>
        </r>
        <r>
          <rPr>
            <sz val="9"/>
            <rFont val="Tahoma"/>
            <family val="2"/>
          </rPr>
          <t xml:space="preserve">121,447,947,840
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돋움"/>
            <family val="3"/>
          </rPr>
          <t>사용자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2020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예산서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차기이월자금</t>
        </r>
      </text>
    </comment>
  </commentList>
</comments>
</file>

<file path=xl/comments3.xml><?xml version="1.0" encoding="utf-8"?>
<comments xmlns="http://schemas.openxmlformats.org/spreadsheetml/2006/main">
  <authors>
    <author>Master</author>
  </authors>
  <commentList>
    <comment ref="I26" authorId="0">
      <text>
        <r>
          <rPr>
            <b/>
            <sz val="9"/>
            <rFont val="굴림"/>
            <family val="3"/>
          </rPr>
          <t xml:space="preserve">=102,124,856천원(추경자료)*101.42%
- 2010년 수가인상 환산지수(1.42%)
   (63.4-&gt;64.3) </t>
        </r>
      </text>
    </comment>
    <comment ref="I45" authorId="0">
      <text>
        <r>
          <rPr>
            <b/>
            <sz val="9"/>
            <rFont val="굴림"/>
            <family val="3"/>
          </rPr>
          <t xml:space="preserve">=52,504,996천원(추경자료)*101.42%
- 2010년 수가인상 환산지수(1.42%)
   (63.4-&gt;64.3) </t>
        </r>
      </text>
    </comment>
    <comment ref="I50" authorId="0">
      <text>
        <r>
          <rPr>
            <b/>
            <sz val="9"/>
            <rFont val="굴림"/>
            <family val="3"/>
          </rPr>
          <t>추경*3%(인상)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시설관리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교환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기타용역</t>
        </r>
      </text>
    </comment>
  </commentList>
</comments>
</file>

<file path=xl/comments5.xml><?xml version="1.0" encoding="utf-8"?>
<comments xmlns="http://schemas.openxmlformats.org/spreadsheetml/2006/main">
  <authors>
    <author>Windows 사용자</author>
  </authors>
  <commentList>
    <comment ref="C15" authorId="0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돋움"/>
            <family val="3"/>
          </rPr>
          <t>사용자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차기이월자금
</t>
        </r>
        <r>
          <rPr>
            <sz val="9"/>
            <rFont val="Tahoma"/>
            <family val="2"/>
          </rPr>
          <t xml:space="preserve">121,447,947,840
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돋움"/>
            <family val="3"/>
          </rPr>
          <t>사용자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2020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예산서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차기이월자금</t>
        </r>
      </text>
    </comment>
  </commentList>
</comments>
</file>

<file path=xl/comments6.xml><?xml version="1.0" encoding="utf-8"?>
<comments xmlns="http://schemas.openxmlformats.org/spreadsheetml/2006/main">
  <authors>
    <author>Master</author>
  </authors>
  <commentList>
    <comment ref="I50" authorId="0">
      <text>
        <r>
          <rPr>
            <b/>
            <sz val="9"/>
            <rFont val="굴림"/>
            <family val="3"/>
          </rPr>
          <t>추경*3%(인상)</t>
        </r>
      </text>
    </comment>
    <comment ref="I26" authorId="0">
      <text>
        <r>
          <rPr>
            <b/>
            <sz val="9"/>
            <rFont val="굴림"/>
            <family val="3"/>
          </rPr>
          <t xml:space="preserve">=102,124,856천원(추경자료)*101.42%
- 2010년 수가인상 환산지수(1.42%)
   (63.4-&gt;64.3) </t>
        </r>
      </text>
    </comment>
    <comment ref="I45" authorId="0">
      <text>
        <r>
          <rPr>
            <b/>
            <sz val="9"/>
            <rFont val="굴림"/>
            <family val="3"/>
          </rPr>
          <t xml:space="preserve">=52,504,996천원(추경자료)*101.42%
- 2010년 수가인상 환산지수(1.42%)
   (63.4-&gt;64.3) 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I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시설관리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교환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기타용역</t>
        </r>
      </text>
    </comment>
  </commentList>
</comments>
</file>

<file path=xl/sharedStrings.xml><?xml version="1.0" encoding="utf-8"?>
<sst xmlns="http://schemas.openxmlformats.org/spreadsheetml/2006/main" count="2796" uniqueCount="1211">
  <si>
    <r>
      <t xml:space="preserve">  1. 수입의</t>
    </r>
    <r>
      <rPr>
        <sz val="11"/>
        <rFont val="돋움"/>
        <family val="3"/>
      </rPr>
      <t xml:space="preserve"> </t>
    </r>
    <r>
      <rPr>
        <sz val="12"/>
        <rFont val="바탕체"/>
        <family val="1"/>
      </rPr>
      <t>부</t>
    </r>
  </si>
  <si>
    <t>산   출   근   거</t>
  </si>
  <si>
    <t>관,     항</t>
  </si>
  <si>
    <t>목</t>
  </si>
  <si>
    <t xml:space="preserve">   의   료   수  입</t>
  </si>
  <si>
    <t xml:space="preserve">   입원수입</t>
  </si>
  <si>
    <t>입원(2009년11월까지)</t>
  </si>
  <si>
    <t>외래</t>
  </si>
  <si>
    <t>입원</t>
  </si>
  <si>
    <t>입원수입</t>
  </si>
  <si>
    <t>내과</t>
  </si>
  <si>
    <t>방사선종양학과</t>
  </si>
  <si>
    <t>근전도검사실</t>
  </si>
  <si>
    <t>일반외과</t>
  </si>
  <si>
    <t>영상의학과</t>
  </si>
  <si>
    <t>정형외과</t>
  </si>
  <si>
    <t>여행자의학클리닉</t>
  </si>
  <si>
    <t>신경외과</t>
  </si>
  <si>
    <t>일반내과</t>
  </si>
  <si>
    <t>진단검사의학과</t>
  </si>
  <si>
    <t xml:space="preserve"> </t>
  </si>
  <si>
    <t>흉부외과</t>
  </si>
  <si>
    <t>순환기내과</t>
  </si>
  <si>
    <t>방사선종향학과</t>
  </si>
  <si>
    <t>성형외과</t>
  </si>
  <si>
    <t>소화기내과</t>
  </si>
  <si>
    <t>산부인과</t>
  </si>
  <si>
    <t>호흡기내과</t>
  </si>
  <si>
    <t>소아과</t>
  </si>
  <si>
    <t>신장내과</t>
  </si>
  <si>
    <t>정신과</t>
  </si>
  <si>
    <t>혈액종양내과</t>
  </si>
  <si>
    <t>비뇨기과</t>
  </si>
  <si>
    <t>류마티스내과</t>
  </si>
  <si>
    <t>안과</t>
  </si>
  <si>
    <t>내분비내과</t>
  </si>
  <si>
    <t>치과</t>
  </si>
  <si>
    <t>감염내과</t>
  </si>
  <si>
    <t>신경과</t>
  </si>
  <si>
    <t>신경과</t>
  </si>
  <si>
    <t>마취통증의학과</t>
  </si>
  <si>
    <t>이비인후과</t>
  </si>
  <si>
    <t>인공신장실</t>
  </si>
  <si>
    <t>피부과</t>
  </si>
  <si>
    <t>정신과</t>
  </si>
  <si>
    <t>응 급 실</t>
  </si>
  <si>
    <t>기타</t>
  </si>
  <si>
    <t>기          타</t>
  </si>
  <si>
    <t>소아정신과</t>
  </si>
  <si>
    <t>계</t>
  </si>
  <si>
    <t xml:space="preserve">   외래수입</t>
  </si>
  <si>
    <t>외래(2009년11월까지)</t>
  </si>
  <si>
    <t>가정의학과</t>
  </si>
  <si>
    <t>소 아 과</t>
  </si>
  <si>
    <t>안    과</t>
  </si>
  <si>
    <t>치    과</t>
  </si>
  <si>
    <t>신 경 과</t>
  </si>
  <si>
    <t>피부과</t>
  </si>
  <si>
    <t>피 부 과</t>
  </si>
  <si>
    <t>기타</t>
  </si>
  <si>
    <t xml:space="preserve">   소    계</t>
  </si>
  <si>
    <t xml:space="preserve">   기타수입</t>
  </si>
  <si>
    <t>(2008년11월까지)</t>
  </si>
  <si>
    <t>신체검사</t>
  </si>
  <si>
    <t>원무과</t>
  </si>
  <si>
    <t>기  타  수  입</t>
  </si>
  <si>
    <t>암건진</t>
  </si>
  <si>
    <t>수탁검사수익</t>
  </si>
  <si>
    <t>산업보건실</t>
  </si>
  <si>
    <t xml:space="preserve">   소   계</t>
  </si>
  <si>
    <t>5200전입금및기부수입</t>
  </si>
  <si>
    <t xml:space="preserve"> 5210 전입금수입</t>
  </si>
  <si>
    <t>5211 경상비 전입금</t>
  </si>
  <si>
    <t xml:space="preserve"> 5220 기부금 수입</t>
  </si>
  <si>
    <t>5221 일 반 기 부 금</t>
  </si>
  <si>
    <t xml:space="preserve">   소   계</t>
  </si>
  <si>
    <t>5222 지 정 기 부 금</t>
  </si>
  <si>
    <t>5400교육(영업)외수입</t>
  </si>
  <si>
    <t xml:space="preserve"> 5410 예금이자수입</t>
  </si>
  <si>
    <t>5411 예 금 이 자</t>
  </si>
  <si>
    <t>보통예금 및 정기예금</t>
  </si>
  <si>
    <t xml:space="preserve"> 5420 기타교육(영업)외수입</t>
  </si>
  <si>
    <t>5421 잡  수  입</t>
  </si>
  <si>
    <t>5428 고정자산처분익</t>
  </si>
  <si>
    <t xml:space="preserve"> 5430 수익재산수입</t>
  </si>
  <si>
    <t>5431 임 대 료 수 입</t>
  </si>
  <si>
    <t>편의시설임대</t>
  </si>
  <si>
    <t>5432 배 당 금 수 입</t>
  </si>
  <si>
    <t>5433 외  환  차  익</t>
  </si>
  <si>
    <t>1200 투자와기타자산수입</t>
  </si>
  <si>
    <t xml:space="preserve"> 1220 투자자산수입</t>
  </si>
  <si>
    <t>1221 투자유가증권매각대</t>
  </si>
  <si>
    <t xml:space="preserve"> </t>
  </si>
  <si>
    <t>1229 기타투자자산 수입</t>
  </si>
  <si>
    <t xml:space="preserve"> 1230 특정기금인출수입</t>
  </si>
  <si>
    <t>1232 연구기금인출</t>
  </si>
  <si>
    <t>1233 건축기금인출</t>
  </si>
  <si>
    <t>1235 퇴직기금인출</t>
  </si>
  <si>
    <t xml:space="preserve"> 1240 기타자산수입</t>
  </si>
  <si>
    <t>1241 전신전화 보증금회수</t>
  </si>
  <si>
    <t>1242 임차보증금 회수</t>
  </si>
  <si>
    <t>1249 기타자산수입</t>
  </si>
  <si>
    <t>1300 고정자산매각수입</t>
  </si>
  <si>
    <t xml:space="preserve"> 1310유형고정자산매각수입</t>
  </si>
  <si>
    <t>1311 토지매각대</t>
  </si>
  <si>
    <t>1312 건물매각대</t>
  </si>
  <si>
    <t>1314 기계,기구 매각대</t>
  </si>
  <si>
    <t>1315 집기비품 매각대</t>
  </si>
  <si>
    <t>1316 차량운반구매각대</t>
  </si>
  <si>
    <t>2100 유동부채입금</t>
  </si>
  <si>
    <t xml:space="preserve"> 2110 단기차입금</t>
  </si>
  <si>
    <t>2111 단기차입금차입</t>
  </si>
  <si>
    <t>2200 고정부채입금</t>
  </si>
  <si>
    <t xml:space="preserve"> 2210 장기차입금</t>
  </si>
  <si>
    <t>2211 장기차입금차입</t>
  </si>
  <si>
    <t>2212 차관도입</t>
  </si>
  <si>
    <t xml:space="preserve"> 2220 기타고정부채</t>
  </si>
  <si>
    <t>2221 임대보증금 수입</t>
  </si>
  <si>
    <t>3100 기 본 금</t>
  </si>
  <si>
    <t>전  기  이  월  자  금</t>
  </si>
  <si>
    <t>자  금  수  입  총  계</t>
  </si>
  <si>
    <t>과</t>
  </si>
  <si>
    <t>목</t>
  </si>
  <si>
    <t>증감</t>
  </si>
  <si>
    <t>예산절감액</t>
  </si>
  <si>
    <t>4100 보    수</t>
  </si>
  <si>
    <t xml:space="preserve"> 4110 교 원 보 수</t>
  </si>
  <si>
    <t>4111 교 원 급 여</t>
  </si>
  <si>
    <t>4112 교 원 상 여 금</t>
  </si>
  <si>
    <t>4113 교 원 제 수 당</t>
  </si>
  <si>
    <t>진료교수수당</t>
  </si>
  <si>
    <t>4114 교원 법정부담금</t>
  </si>
  <si>
    <t xml:space="preserve"> </t>
  </si>
  <si>
    <t>4115 시 간 강 의 료</t>
  </si>
  <si>
    <t>4116 특 별 강 의 료</t>
  </si>
  <si>
    <t>4117 교 원 퇴 직 금</t>
  </si>
  <si>
    <t>4118 조 교 인 건 비</t>
  </si>
  <si>
    <t xml:space="preserve"> 4120 직 원 보 수</t>
  </si>
  <si>
    <t>4121 직 원 급 여</t>
  </si>
  <si>
    <t>4122 직 원 상 여 금</t>
  </si>
  <si>
    <t>4123 직 원 제 수 당</t>
  </si>
  <si>
    <t>4124 직원법정부담금</t>
  </si>
  <si>
    <t>4125 임 시 직 인 건 비</t>
  </si>
  <si>
    <t>4127 직 원 퇴 직 금</t>
  </si>
  <si>
    <t>4200 관리운영비</t>
  </si>
  <si>
    <t>4211 건축물 관리비</t>
  </si>
  <si>
    <t>승강기유지보수료</t>
  </si>
  <si>
    <t xml:space="preserve">  소   계</t>
  </si>
  <si>
    <t>4212 장 비 관 리 비</t>
  </si>
  <si>
    <t>의료장비수선비</t>
  </si>
  <si>
    <t>전산장비수선비</t>
  </si>
  <si>
    <t>기타수선비</t>
  </si>
  <si>
    <t>4213 조 경 관 리 비</t>
  </si>
  <si>
    <t>4224 박물관 관리비</t>
  </si>
  <si>
    <t>4215 시 설 용 역 비</t>
  </si>
  <si>
    <t>의료폐기물</t>
  </si>
  <si>
    <t>기타용역</t>
  </si>
  <si>
    <t>4216 보   험   료</t>
  </si>
  <si>
    <t>건물화재보험료외</t>
  </si>
  <si>
    <t>4217 리스 임차료</t>
  </si>
  <si>
    <t>정수기임대료</t>
  </si>
  <si>
    <t>무인수납기</t>
  </si>
  <si>
    <t>복사기</t>
  </si>
  <si>
    <t>4219 기타시설관리비</t>
  </si>
  <si>
    <t>기타시설관리</t>
  </si>
  <si>
    <t>4221 여 비 교 통 비</t>
  </si>
  <si>
    <t>4222 차 량 유 지 비</t>
  </si>
  <si>
    <t>자동차세</t>
  </si>
  <si>
    <t>차량보험료</t>
  </si>
  <si>
    <t>4223 소 모 품 비</t>
  </si>
  <si>
    <t>4224 인 쇄 출 판 비</t>
  </si>
  <si>
    <t>도서인쇄비</t>
  </si>
  <si>
    <t>4225 난    방    비</t>
  </si>
  <si>
    <t>연 료 비</t>
  </si>
  <si>
    <t>4226 전 기 수 도 료</t>
  </si>
  <si>
    <t>4227 통    신    비</t>
  </si>
  <si>
    <t>전신전화료</t>
  </si>
  <si>
    <t>우편료 외</t>
  </si>
  <si>
    <t>4228 제 세 공 과 금</t>
  </si>
  <si>
    <t>4229 지 급 수 수 료</t>
  </si>
  <si>
    <t>카드수수료</t>
  </si>
  <si>
    <t>지급수수료</t>
  </si>
  <si>
    <t xml:space="preserve"> 4230 운 영 비</t>
  </si>
  <si>
    <t>4231 복 리 후 생 비</t>
  </si>
  <si>
    <t>4232 교 육 훈 련 비</t>
  </si>
  <si>
    <t>4233 일 반 용 역 비</t>
  </si>
  <si>
    <t>4234 업 무 추 진 비</t>
  </si>
  <si>
    <t>접대비</t>
  </si>
  <si>
    <t>4235 홍    보    비</t>
  </si>
  <si>
    <t>공고, 홍보책자</t>
  </si>
  <si>
    <t>4236 회    의    비</t>
  </si>
  <si>
    <t>4237 행    사    비</t>
  </si>
  <si>
    <t>4239 기 타 운 영 비</t>
  </si>
  <si>
    <t>잡    비</t>
  </si>
  <si>
    <t>4241 약  품  비</t>
  </si>
  <si>
    <t>마    약</t>
  </si>
  <si>
    <t>일반약품</t>
  </si>
  <si>
    <t>4242 진료재료비</t>
  </si>
  <si>
    <t>수술재료</t>
  </si>
  <si>
    <t>방사선재료</t>
  </si>
  <si>
    <t>치과재료</t>
  </si>
  <si>
    <t>검사재료</t>
  </si>
  <si>
    <t>동위원소재료</t>
  </si>
  <si>
    <t>기타진료재료</t>
  </si>
  <si>
    <t>4242 의료 소모품비</t>
  </si>
  <si>
    <t>의료소모품</t>
  </si>
  <si>
    <t>피복침구비</t>
  </si>
  <si>
    <t>급식재료비</t>
  </si>
  <si>
    <t>혈 액 비</t>
  </si>
  <si>
    <t>4245 외 주 검 사 비</t>
  </si>
  <si>
    <t>외부검사료</t>
  </si>
  <si>
    <t>4300 연구학생경비</t>
  </si>
  <si>
    <t xml:space="preserve"> 4310 연 구 비</t>
  </si>
  <si>
    <t>4311 연  구  비</t>
  </si>
  <si>
    <t>연구비</t>
  </si>
  <si>
    <t>4312 연구관리비</t>
  </si>
  <si>
    <t>4400 교육(영업)외비용</t>
  </si>
  <si>
    <t xml:space="preserve"> 4410 지 급 이 자</t>
  </si>
  <si>
    <t>4411 지  급  이  자</t>
  </si>
  <si>
    <t xml:space="preserve"> 4420 기타교육(영업)외비용</t>
  </si>
  <si>
    <t>4421 잡   손   실</t>
  </si>
  <si>
    <t>4422 진료비 에누리, 감면</t>
  </si>
  <si>
    <t>매출대비</t>
  </si>
  <si>
    <t>4423 외환차손</t>
  </si>
  <si>
    <t>4500 전  출  금</t>
  </si>
  <si>
    <t xml:space="preserve"> 4510 전 출 금</t>
  </si>
  <si>
    <t>4511 경상비 전출금</t>
  </si>
  <si>
    <t>4512 법정부담 전출금</t>
  </si>
  <si>
    <t>4513 자 산 전 출 금</t>
  </si>
  <si>
    <t xml:space="preserve">4600 예  비  비 </t>
  </si>
  <si>
    <t xml:space="preserve"> 4610 예  비  비</t>
  </si>
  <si>
    <t>4611 예  비  비</t>
  </si>
  <si>
    <t>1200 투자와기타자산지출</t>
  </si>
  <si>
    <t xml:space="preserve"> 1220 투자자산지출</t>
  </si>
  <si>
    <t>1221 투자유가증권매입대</t>
  </si>
  <si>
    <t xml:space="preserve"> 1240 기타자산지출</t>
  </si>
  <si>
    <t>1241 전신전화보증금지출</t>
  </si>
  <si>
    <t>1242 임차보증금지출</t>
  </si>
  <si>
    <t>1249 기타 자산지출</t>
  </si>
  <si>
    <t>1300 고정자산매입지출</t>
  </si>
  <si>
    <t xml:space="preserve"> 1310유형고정자산매입지출</t>
  </si>
  <si>
    <t>1311 토지매입비</t>
  </si>
  <si>
    <t>1312,3 건물 및부속설비</t>
  </si>
  <si>
    <t>1314 의료기기매입비</t>
  </si>
  <si>
    <t>1315 집기비품매입비</t>
  </si>
  <si>
    <t>1316 차량운반구매입비</t>
  </si>
  <si>
    <t>1317 도서구입비</t>
  </si>
  <si>
    <t>1319 건설가계정</t>
  </si>
  <si>
    <t>2100 유동부채상환</t>
  </si>
  <si>
    <t xml:space="preserve"> 2110단기차입금 상환</t>
  </si>
  <si>
    <t>2111 단기차입금상환</t>
  </si>
  <si>
    <t>2200 고정부채상환</t>
  </si>
  <si>
    <t xml:space="preserve"> 2210 장기차입금상환</t>
  </si>
  <si>
    <t>2211 장기차입금상환</t>
  </si>
  <si>
    <t>2212 차관상환</t>
  </si>
  <si>
    <t xml:space="preserve"> 2220 기타고정부채상환</t>
  </si>
  <si>
    <t>2221 임대보증금상환</t>
  </si>
  <si>
    <t>2222 장기미지급금상환</t>
  </si>
  <si>
    <t>2229 기타고정부채상환</t>
  </si>
  <si>
    <t xml:space="preserve"> 차 기 이 월 자 금</t>
  </si>
  <si>
    <t>추경예산</t>
  </si>
  <si>
    <t>본예산</t>
  </si>
  <si>
    <t>기타소모품</t>
  </si>
  <si>
    <t>사무  용품</t>
  </si>
  <si>
    <t>수 도 료</t>
  </si>
  <si>
    <t>전 기 료</t>
  </si>
  <si>
    <t xml:space="preserve">  소  계</t>
  </si>
  <si>
    <t>미사용차기이월예산액</t>
  </si>
  <si>
    <t xml:space="preserve"> 자 금 지 출 총 계</t>
  </si>
  <si>
    <t>계약학과등록금</t>
  </si>
  <si>
    <t>조직활성화교육</t>
  </si>
  <si>
    <t>QI활동</t>
  </si>
  <si>
    <t>일반교육비</t>
  </si>
  <si>
    <t>관별</t>
  </si>
  <si>
    <t>증감액</t>
  </si>
  <si>
    <t>구성비</t>
  </si>
  <si>
    <t>비고</t>
  </si>
  <si>
    <t>운영지출</t>
  </si>
  <si>
    <t>보수</t>
  </si>
  <si>
    <t>전입및기부수입</t>
  </si>
  <si>
    <t>의료외지출</t>
  </si>
  <si>
    <t>투자와
기타자산수입</t>
  </si>
  <si>
    <t>전출금</t>
  </si>
  <si>
    <t>예비비</t>
  </si>
  <si>
    <t>고정자산매각수입</t>
  </si>
  <si>
    <t>(단위:천원)</t>
  </si>
  <si>
    <t>비투씨투</t>
  </si>
  <si>
    <t>국내여비</t>
  </si>
  <si>
    <t>국외여비</t>
  </si>
  <si>
    <t>유류비</t>
  </si>
  <si>
    <t>수리비</t>
  </si>
  <si>
    <t>비상발전기보수</t>
  </si>
  <si>
    <t>기타공사</t>
  </si>
  <si>
    <t>관리감독자교육</t>
  </si>
  <si>
    <t>4514 법 인 전 출 금</t>
  </si>
  <si>
    <t>과</t>
  </si>
  <si>
    <t>목</t>
  </si>
  <si>
    <t>추경예산</t>
  </si>
  <si>
    <t>본예산</t>
  </si>
  <si>
    <t>증감</t>
  </si>
  <si>
    <t>외래수익</t>
  </si>
  <si>
    <t>의료용비품</t>
  </si>
  <si>
    <t>도서구입비</t>
  </si>
  <si>
    <t xml:space="preserve">  소     계</t>
  </si>
  <si>
    <t>직원급여</t>
  </si>
  <si>
    <t>직원상여</t>
  </si>
  <si>
    <t>정액수당</t>
  </si>
  <si>
    <t>임시직원급여</t>
  </si>
  <si>
    <t>일반비품(전산포함)</t>
  </si>
  <si>
    <t>산업의학과</t>
  </si>
  <si>
    <t>가정의학과</t>
  </si>
  <si>
    <t>외과</t>
  </si>
  <si>
    <t>흉부외과</t>
  </si>
  <si>
    <t>신경외과</t>
  </si>
  <si>
    <t>정형외과</t>
  </si>
  <si>
    <t>신경외과</t>
  </si>
  <si>
    <t>소아정형외과</t>
  </si>
  <si>
    <t>성형외과</t>
  </si>
  <si>
    <t>재활의학과</t>
  </si>
  <si>
    <t>정형외과</t>
  </si>
  <si>
    <t>정신과</t>
  </si>
  <si>
    <t>응급실</t>
  </si>
  <si>
    <t>응급의학과</t>
  </si>
  <si>
    <t>산부인과</t>
  </si>
  <si>
    <t>소아과</t>
  </si>
  <si>
    <t>산부인과</t>
  </si>
  <si>
    <t>신생아과</t>
  </si>
  <si>
    <t>소아과</t>
  </si>
  <si>
    <t>안과</t>
  </si>
  <si>
    <t>이비인후과</t>
  </si>
  <si>
    <t>안과</t>
  </si>
  <si>
    <t>피부과</t>
  </si>
  <si>
    <t>이비인후과</t>
  </si>
  <si>
    <t>인공신장실</t>
  </si>
  <si>
    <t>비뇨기과</t>
  </si>
  <si>
    <t>계</t>
  </si>
  <si>
    <t>일반건진</t>
  </si>
  <si>
    <t>사회사업실</t>
  </si>
  <si>
    <t xml:space="preserve"> 4210 시설 관리비</t>
  </si>
  <si>
    <t xml:space="preserve"> 4220 일반관리비</t>
  </si>
  <si>
    <t xml:space="preserve"> 4240 진료재료비</t>
  </si>
  <si>
    <t>1318 기계장치</t>
  </si>
  <si>
    <t>업무용차량</t>
  </si>
  <si>
    <t>응급실보조금</t>
  </si>
  <si>
    <t>권역외상센타</t>
  </si>
  <si>
    <t>신생아집중치료실</t>
  </si>
  <si>
    <t>결핵관리</t>
  </si>
  <si>
    <t>자살예방관리</t>
  </si>
  <si>
    <t>간호용역</t>
  </si>
  <si>
    <t>세탁용역</t>
  </si>
  <si>
    <t>기타공과금등</t>
  </si>
  <si>
    <t xml:space="preserve"> 4210 시설 관리비</t>
  </si>
  <si>
    <t>사업소세</t>
  </si>
  <si>
    <t>기타교육</t>
  </si>
  <si>
    <t>건강검진수입</t>
  </si>
  <si>
    <t>에스텍</t>
  </si>
  <si>
    <t>1. 내과</t>
  </si>
  <si>
    <t>2. 신경과</t>
  </si>
  <si>
    <t>3. 정신과</t>
  </si>
  <si>
    <t>4. 외과</t>
  </si>
  <si>
    <t>5. 정형외과</t>
  </si>
  <si>
    <t>6. 신경외과</t>
  </si>
  <si>
    <t>7. 흉부외과</t>
  </si>
  <si>
    <t>8. 성형외과</t>
  </si>
  <si>
    <t>9. 산부인과</t>
  </si>
  <si>
    <t>11. 이비인후과</t>
  </si>
  <si>
    <t>12. 피부과</t>
  </si>
  <si>
    <t>13. 비뇨기과</t>
  </si>
  <si>
    <t>14. 진단검사의학과</t>
  </si>
  <si>
    <t>15. 결핵과</t>
  </si>
  <si>
    <t>16. 재활의학과</t>
  </si>
  <si>
    <t>17. 가정의학과</t>
  </si>
  <si>
    <t>18. 핵의학</t>
  </si>
  <si>
    <t>19. 소아청소년과</t>
  </si>
  <si>
    <t>20. 마취통증의학과</t>
  </si>
  <si>
    <t>21. 방사선종양학과</t>
  </si>
  <si>
    <t>22. 병리과</t>
  </si>
  <si>
    <t>23. 영상의학과</t>
  </si>
  <si>
    <t>24. 예방의학과</t>
  </si>
  <si>
    <t>25. 응급의학과</t>
  </si>
  <si>
    <t>26. 산업의학과</t>
  </si>
  <si>
    <t>27. 한방과</t>
  </si>
  <si>
    <t>28. 치과</t>
  </si>
  <si>
    <t>29. 기타진료과</t>
  </si>
  <si>
    <t>30. 청구차액</t>
  </si>
  <si>
    <t>10. 안과</t>
  </si>
  <si>
    <t>일반병원 계</t>
  </si>
  <si>
    <t>소아청소년과</t>
  </si>
  <si>
    <t>비뇨의학과</t>
  </si>
  <si>
    <t>작년 보건복지부 자료 외래</t>
  </si>
  <si>
    <t>진료과</t>
  </si>
  <si>
    <t>합계</t>
  </si>
  <si>
    <t>작년 보건복지부 자료 입원</t>
  </si>
  <si>
    <r>
      <t>(</t>
    </r>
    <r>
      <rPr>
        <sz val="11"/>
        <rFont val="돋움"/>
        <family val="3"/>
      </rPr>
      <t>수입의부)</t>
    </r>
  </si>
  <si>
    <r>
      <t>(</t>
    </r>
    <r>
      <rPr>
        <sz val="11"/>
        <rFont val="돋움"/>
        <family val="3"/>
      </rPr>
      <t>단위 : 원)</t>
    </r>
  </si>
  <si>
    <t>과                목</t>
  </si>
  <si>
    <t>잔여기간
(12월-2월)</t>
  </si>
  <si>
    <t>합 계
(실적+잔여)</t>
  </si>
  <si>
    <t>증(-)감</t>
  </si>
  <si>
    <t>비   고</t>
  </si>
  <si>
    <t>관</t>
  </si>
  <si>
    <t>항</t>
  </si>
  <si>
    <t>(A)  - (B)</t>
  </si>
  <si>
    <t>수입</t>
  </si>
  <si>
    <t>영 업 수 입</t>
  </si>
  <si>
    <t>의료수입</t>
  </si>
  <si>
    <t>외래수입</t>
  </si>
  <si>
    <t>기타수입</t>
  </si>
  <si>
    <t>전입및기부수입</t>
  </si>
  <si>
    <t>전입금수입</t>
  </si>
  <si>
    <t>경상비전입금</t>
  </si>
  <si>
    <t>법정부담금전입금</t>
  </si>
  <si>
    <t>부속병원전입금</t>
  </si>
  <si>
    <t>자산전입금</t>
  </si>
  <si>
    <t>기부금수입</t>
  </si>
  <si>
    <t>일반기부금</t>
  </si>
  <si>
    <t>지정기부금</t>
  </si>
  <si>
    <t>연구기부금</t>
  </si>
  <si>
    <t>국고보조금수입</t>
  </si>
  <si>
    <t>기타보조금</t>
  </si>
  <si>
    <t>교육부대수입</t>
  </si>
  <si>
    <t>수익재산수입</t>
  </si>
  <si>
    <t>임대료수입</t>
  </si>
  <si>
    <t>편의시설임대수입</t>
  </si>
  <si>
    <t>배당금수입</t>
  </si>
  <si>
    <t>기타수익재산수입</t>
  </si>
  <si>
    <t>기타교육
부대수입</t>
  </si>
  <si>
    <t>잡수입</t>
  </si>
  <si>
    <t>기타교육부대수입</t>
  </si>
  <si>
    <t>교육외수입</t>
  </si>
  <si>
    <t>예금이자수입</t>
  </si>
  <si>
    <t>예금이자</t>
  </si>
  <si>
    <t>투자와기타자산수입</t>
  </si>
  <si>
    <t>투자자산수입</t>
  </si>
  <si>
    <t>투자유가증권
매각대</t>
  </si>
  <si>
    <t>특정기금
인출수입</t>
  </si>
  <si>
    <t>연구기금인출</t>
  </si>
  <si>
    <t>건축기금인출</t>
  </si>
  <si>
    <t>기타자산수입</t>
  </si>
  <si>
    <t>임차보증금회수</t>
  </si>
  <si>
    <t>고정자산매각
수입</t>
  </si>
  <si>
    <t>유형고정자산
매각수입</t>
  </si>
  <si>
    <t>토지매각대</t>
  </si>
  <si>
    <t>건물매각대</t>
  </si>
  <si>
    <t>차량운반구매각대</t>
  </si>
  <si>
    <t>기계기구매각대</t>
  </si>
  <si>
    <t>고정부채입금</t>
  </si>
  <si>
    <t>기타고정부채</t>
  </si>
  <si>
    <t>임대보증금수입</t>
  </si>
  <si>
    <t>전기이월자금</t>
  </si>
  <si>
    <r>
      <t>(</t>
    </r>
    <r>
      <rPr>
        <sz val="11"/>
        <rFont val="돋움"/>
        <family val="3"/>
      </rPr>
      <t>지출의부)</t>
    </r>
  </si>
  <si>
    <t>①</t>
  </si>
  <si>
    <t>②</t>
  </si>
  <si>
    <t>③</t>
  </si>
  <si>
    <r>
      <t>(</t>
    </r>
    <r>
      <rPr>
        <sz val="11"/>
        <rFont val="돋움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원</t>
    </r>
    <r>
      <rPr>
        <sz val="11"/>
        <rFont val="Arial"/>
        <family val="2"/>
      </rPr>
      <t>)</t>
    </r>
  </si>
  <si>
    <t>비 고</t>
  </si>
  <si>
    <t>비용지출</t>
  </si>
  <si>
    <t>보  수</t>
  </si>
  <si>
    <t>교원보수</t>
  </si>
  <si>
    <t>교원급여</t>
  </si>
  <si>
    <t>교원상여금</t>
  </si>
  <si>
    <t>교원제수당</t>
  </si>
  <si>
    <t>교원법정부담금</t>
  </si>
  <si>
    <t>시간강사료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</si>
  <si>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</si>
  <si>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</si>
  <si>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</si>
  <si>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</si>
  <si>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</si>
  <si>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</si>
  <si>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</si>
  <si>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직원법정부담금</t>
  </si>
  <si>
    <t>임시직보수</t>
  </si>
  <si>
    <t>직원퇴직금</t>
  </si>
  <si>
    <t>관리운영비</t>
  </si>
  <si>
    <t>시설관리비</t>
  </si>
  <si>
    <t>건축물관리비</t>
  </si>
  <si>
    <t>장비관리비</t>
  </si>
  <si>
    <t>조경관리비</t>
  </si>
  <si>
    <t>박물관관리비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</si>
  <si>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</si>
  <si>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</si>
  <si>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</si>
  <si>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</si>
  <si>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</si>
  <si>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</si>
  <si>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</si>
  <si>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</si>
  <si>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</si>
  <si>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</si>
  <si>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</si>
  <si>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</si>
  <si>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</si>
  <si>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</si>
  <si>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</si>
  <si>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</si>
  <si>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 xml:space="preserve"> 식대외 757,000,000</t>
  </si>
  <si>
    <t>교육훈련비</t>
  </si>
  <si>
    <t>일반용역비</t>
  </si>
  <si>
    <t>업무추진비</t>
  </si>
  <si>
    <t>접대비</t>
  </si>
  <si>
    <t>홍보비</t>
  </si>
  <si>
    <t>홍보책자발행등</t>
  </si>
  <si>
    <t>회의비</t>
  </si>
  <si>
    <t>기타운영비</t>
  </si>
  <si>
    <t>진료재료비</t>
  </si>
  <si>
    <t>약품비</t>
  </si>
  <si>
    <t>의료소모품비 9,900,000,000 피복침구 100,000,000</t>
  </si>
  <si>
    <t>혈액비</t>
  </si>
  <si>
    <t>외부검사비</t>
  </si>
  <si>
    <t>연구학생경비</t>
  </si>
  <si>
    <t>연구비</t>
  </si>
  <si>
    <t>연구비</t>
  </si>
  <si>
    <t>교육외비용</t>
  </si>
  <si>
    <t>지급이자</t>
  </si>
  <si>
    <t>기타교육
외비용</t>
  </si>
  <si>
    <t>잡손실</t>
  </si>
  <si>
    <t>의료분쟁위자료</t>
  </si>
  <si>
    <t>진료비감면</t>
  </si>
  <si>
    <t>진료비에누리</t>
  </si>
  <si>
    <t>진료비할인,감면</t>
  </si>
  <si>
    <t>전출금</t>
  </si>
  <si>
    <t>경상비전출금</t>
  </si>
  <si>
    <t>인건비</t>
  </si>
  <si>
    <t>법정부담금전출금</t>
  </si>
  <si>
    <t>법인전출금</t>
  </si>
  <si>
    <t>예비비</t>
  </si>
  <si>
    <t>투자와기타
자산지출</t>
  </si>
  <si>
    <t>투자자산지출</t>
  </si>
  <si>
    <t>특정기금적립</t>
  </si>
  <si>
    <t>연구기금적립</t>
  </si>
  <si>
    <t>건축기금적립</t>
  </si>
  <si>
    <t>기타자산지출</t>
  </si>
  <si>
    <t>임차보증금지출</t>
  </si>
  <si>
    <t>고정자산
매입지출</t>
  </si>
  <si>
    <t>유형고정자산
매입지출</t>
  </si>
  <si>
    <t>토지매입비</t>
  </si>
  <si>
    <t>건물매입비</t>
  </si>
  <si>
    <t>구축물매입비</t>
  </si>
  <si>
    <t>의료기기매입비</t>
  </si>
  <si>
    <t>집기비품매입비</t>
  </si>
  <si>
    <t>차량운반구</t>
  </si>
  <si>
    <t>기계장치</t>
  </si>
  <si>
    <t>도서구입비</t>
  </si>
  <si>
    <t xml:space="preserve"> 도서구입 1,000,000</t>
  </si>
  <si>
    <t>건설가계정</t>
  </si>
  <si>
    <t>무형고정자산
매입지출</t>
  </si>
  <si>
    <t>무형고정자산취득비</t>
  </si>
  <si>
    <t>고정부채상환</t>
  </si>
  <si>
    <t>장기차입금상환</t>
  </si>
  <si>
    <t>차관상환</t>
  </si>
  <si>
    <t>기타고정부채상환</t>
  </si>
  <si>
    <t>임대보증금상환</t>
  </si>
  <si>
    <t>장기미지급금상환</t>
  </si>
  <si>
    <t>미사용차기
이월자금</t>
  </si>
  <si>
    <t>기말유동자산</t>
  </si>
  <si>
    <t>유동자산</t>
  </si>
  <si>
    <t>기타유동자산</t>
  </si>
  <si>
    <t>기말유동부채</t>
  </si>
  <si>
    <t>교육용토지,건물</t>
  </si>
  <si>
    <t>예수금</t>
  </si>
  <si>
    <t>선수금</t>
  </si>
  <si>
    <t>기타유동부채</t>
  </si>
  <si>
    <t>결산전기이월액</t>
  </si>
  <si>
    <t>수기입력</t>
  </si>
  <si>
    <t>장애인고용부담금</t>
  </si>
  <si>
    <t>교통유발부담금</t>
  </si>
  <si>
    <t>종업원분주민세</t>
  </si>
  <si>
    <t>재산분주민세(종부세포함)</t>
  </si>
  <si>
    <t>기타복리후생비(식대외)</t>
  </si>
  <si>
    <t>경조사비</t>
  </si>
  <si>
    <t>우연의 일치 확인했음.</t>
  </si>
  <si>
    <t>의료분쟁 위자료 등</t>
  </si>
  <si>
    <t>노후장비교체및구입 외</t>
  </si>
  <si>
    <t xml:space="preserve"> 3110 출연기본금</t>
  </si>
  <si>
    <t>3112 법인</t>
  </si>
  <si>
    <t>4243 급식재료비</t>
  </si>
  <si>
    <t>4244 혈  액  비</t>
  </si>
  <si>
    <t>◎ 대전을지대학교병원</t>
  </si>
  <si>
    <t>고유목적사업지출</t>
  </si>
  <si>
    <t>2020학년 을지대학교병원 추가경정예산 (안)</t>
  </si>
  <si>
    <t xml:space="preserve"> 전기이월 결산                             87,867,496,560</t>
  </si>
  <si>
    <t>건강검진 6,576,000,000    수탁 35,000,000
산업보건 610,000,000</t>
  </si>
  <si>
    <t>2020학년도 
본예산(B)</t>
  </si>
  <si>
    <t>2020학년도 예산서(안)</t>
  </si>
  <si>
    <t>(2020. 3. 1 부터  2021. 2. 28 까지)</t>
  </si>
  <si>
    <t>(2020. 3. 1 부터  2021. 2. 28 까지)</t>
  </si>
  <si>
    <t>◎ 대전을지대학교병원</t>
  </si>
  <si>
    <r>
      <t xml:space="preserve">  1. 수입의</t>
    </r>
    <r>
      <rPr>
        <sz val="11"/>
        <rFont val="돋움"/>
        <family val="3"/>
      </rPr>
      <t xml:space="preserve"> </t>
    </r>
    <r>
      <rPr>
        <sz val="12"/>
        <rFont val="바탕체"/>
        <family val="1"/>
      </rPr>
      <t>부</t>
    </r>
  </si>
  <si>
    <t>(단위:천원)</t>
  </si>
  <si>
    <t>과</t>
  </si>
  <si>
    <t>목</t>
  </si>
  <si>
    <t>증감</t>
  </si>
  <si>
    <t>입원(2009년11월까지)</t>
  </si>
  <si>
    <t>외래</t>
  </si>
  <si>
    <t>입원</t>
  </si>
  <si>
    <t>방사선종양학과</t>
  </si>
  <si>
    <t>근전도검사실</t>
  </si>
  <si>
    <t>영상의학과</t>
  </si>
  <si>
    <t>영상의학과</t>
  </si>
  <si>
    <t>여행자의학클리닉</t>
  </si>
  <si>
    <t>영상의학과</t>
  </si>
  <si>
    <t>일반내과</t>
  </si>
  <si>
    <t>진단검사의학과</t>
  </si>
  <si>
    <t>순환기내과</t>
  </si>
  <si>
    <t>방사선종향학과</t>
  </si>
  <si>
    <t>소화기내과</t>
  </si>
  <si>
    <t>호흡기내과</t>
  </si>
  <si>
    <t>신장내과</t>
  </si>
  <si>
    <t>호흡기내과</t>
  </si>
  <si>
    <t>혈액종양내과</t>
  </si>
  <si>
    <t>신장내과</t>
  </si>
  <si>
    <t>류마티스내과</t>
  </si>
  <si>
    <t>내분비내과</t>
  </si>
  <si>
    <t>감염내과</t>
  </si>
  <si>
    <t>마취통증의학과</t>
  </si>
  <si>
    <t>인공신장실</t>
  </si>
  <si>
    <t>피부과</t>
  </si>
  <si>
    <t>정신과</t>
  </si>
  <si>
    <t>기          타</t>
  </si>
  <si>
    <t>소아정신과</t>
  </si>
  <si>
    <t xml:space="preserve">  소     계</t>
  </si>
  <si>
    <t>계</t>
  </si>
  <si>
    <t>신경과</t>
  </si>
  <si>
    <t>외래(2009년11월까지)</t>
  </si>
  <si>
    <t>가정의학과</t>
  </si>
  <si>
    <t>신경과</t>
  </si>
  <si>
    <t>산업의학과</t>
  </si>
  <si>
    <t>가정의학과</t>
  </si>
  <si>
    <t>외과</t>
  </si>
  <si>
    <t>흉부외과</t>
  </si>
  <si>
    <t>외과</t>
  </si>
  <si>
    <t>신경외과</t>
  </si>
  <si>
    <t>흉부외과</t>
  </si>
  <si>
    <t>정형외과</t>
  </si>
  <si>
    <t>소아정형외과</t>
  </si>
  <si>
    <t>성형외과</t>
  </si>
  <si>
    <t>외래수익</t>
  </si>
  <si>
    <t>정형외과</t>
  </si>
  <si>
    <t>정신과</t>
  </si>
  <si>
    <t>응급실</t>
  </si>
  <si>
    <t>재활의학과</t>
  </si>
  <si>
    <t>응급의학과</t>
  </si>
  <si>
    <t>산부인과</t>
  </si>
  <si>
    <t>소아과</t>
  </si>
  <si>
    <t>신생아과</t>
  </si>
  <si>
    <t>안과</t>
  </si>
  <si>
    <t>이비인후과</t>
  </si>
  <si>
    <t>피부과</t>
  </si>
  <si>
    <t>인공신장실</t>
  </si>
  <si>
    <t>비뇨기과</t>
  </si>
  <si>
    <t>일반건진</t>
  </si>
  <si>
    <t>사회사업실</t>
  </si>
  <si>
    <t>건강진단수입</t>
  </si>
  <si>
    <t>권역외상센타</t>
  </si>
  <si>
    <t>응급실보조금</t>
  </si>
  <si>
    <t>신생아집중치료실</t>
  </si>
  <si>
    <t>자살예방관리</t>
  </si>
  <si>
    <t>결핵관리</t>
  </si>
  <si>
    <t>감염병관리</t>
  </si>
  <si>
    <t>기타</t>
  </si>
  <si>
    <t xml:space="preserve">   소   계</t>
  </si>
  <si>
    <t>연구용역, 주차장, 직원식대수입</t>
  </si>
  <si>
    <t>1232 연구기금인출</t>
  </si>
  <si>
    <t>1233 건축기금인출</t>
  </si>
  <si>
    <t>1235 퇴직기금인출</t>
  </si>
  <si>
    <t xml:space="preserve"> </t>
  </si>
  <si>
    <t xml:space="preserve"> </t>
  </si>
  <si>
    <t>2221 임대보증금 수입</t>
  </si>
  <si>
    <t xml:space="preserve"> 3110 기타기본금</t>
  </si>
  <si>
    <t>3113 법인</t>
  </si>
  <si>
    <t>전기차기이월액</t>
  </si>
  <si>
    <t>2. 지출의 부</t>
  </si>
  <si>
    <t>(단위:천원)</t>
  </si>
  <si>
    <t>과</t>
  </si>
  <si>
    <t>목</t>
  </si>
  <si>
    <t>증감</t>
  </si>
  <si>
    <t>예산절감액</t>
  </si>
  <si>
    <t>4100 보    수</t>
  </si>
  <si>
    <t xml:space="preserve"> 4110 교 원 보 수</t>
  </si>
  <si>
    <t>진료교수수당</t>
  </si>
  <si>
    <t xml:space="preserve"> </t>
  </si>
  <si>
    <t>4115 시 간 강 의 료</t>
  </si>
  <si>
    <t>4116 특 별 강 의 료</t>
  </si>
  <si>
    <t xml:space="preserve"> 4120 직 원 보 수</t>
  </si>
  <si>
    <t>직원급여(2%)</t>
  </si>
  <si>
    <t>직원상여</t>
  </si>
  <si>
    <t>정액수당(2%)</t>
  </si>
  <si>
    <t>사학연금</t>
  </si>
  <si>
    <t>4125 임 시 직 인 건 비</t>
  </si>
  <si>
    <t>임시직원급여</t>
  </si>
  <si>
    <t>4127 직 원 퇴 직 금</t>
  </si>
  <si>
    <t>국민연금대상자</t>
  </si>
  <si>
    <t xml:space="preserve"> 4210 시설 관리비</t>
  </si>
  <si>
    <t>비상발전기보수</t>
  </si>
  <si>
    <t>기타수선비</t>
  </si>
  <si>
    <t>4213 조 경 관 리 비</t>
  </si>
  <si>
    <t>4215 시 설 용 역 비</t>
  </si>
  <si>
    <t>비투씨투</t>
  </si>
  <si>
    <t>간호용역</t>
  </si>
  <si>
    <t>세탁용역</t>
  </si>
  <si>
    <t>에스텍</t>
  </si>
  <si>
    <t>의료폐기물</t>
  </si>
  <si>
    <t>기타용역</t>
  </si>
  <si>
    <t xml:space="preserve">  소  계</t>
  </si>
  <si>
    <t>4216 보   험   료</t>
  </si>
  <si>
    <t>건물화재보험료외</t>
  </si>
  <si>
    <t>4217 리스 임차료</t>
  </si>
  <si>
    <t>복사기</t>
  </si>
  <si>
    <t>기타</t>
  </si>
  <si>
    <t>기타시설관리</t>
  </si>
  <si>
    <t xml:space="preserve"> 4220 일반관리비</t>
  </si>
  <si>
    <t>국내여비</t>
  </si>
  <si>
    <t>국외여비</t>
  </si>
  <si>
    <t>유류비</t>
  </si>
  <si>
    <t>수리비</t>
  </si>
  <si>
    <t>사무  용품</t>
  </si>
  <si>
    <t>기타소모품</t>
  </si>
  <si>
    <t>도서인쇄비</t>
  </si>
  <si>
    <t>연 료 비</t>
  </si>
  <si>
    <t>전 기 료</t>
  </si>
  <si>
    <t>수 도 료</t>
  </si>
  <si>
    <t xml:space="preserve">  소   계</t>
  </si>
  <si>
    <t>4228 제 세 공 과 금</t>
  </si>
  <si>
    <t>종업원분주민세</t>
  </si>
  <si>
    <t>재산분주민세(종부세포함)</t>
  </si>
  <si>
    <t>장애인고용부담금</t>
  </si>
  <si>
    <t>교통유발부담금</t>
  </si>
  <si>
    <t>사업소세</t>
  </si>
  <si>
    <t>기타공과금등</t>
  </si>
  <si>
    <t>카드수수료</t>
  </si>
  <si>
    <t>지급수수료</t>
  </si>
  <si>
    <t>기타복리후생비(식대외)</t>
  </si>
  <si>
    <t>경조사비</t>
  </si>
  <si>
    <t>일반교육비</t>
  </si>
  <si>
    <t>계약학과등록금</t>
  </si>
  <si>
    <t>조직활성화교육</t>
  </si>
  <si>
    <t>QI활동</t>
  </si>
  <si>
    <t>관리감독자교육</t>
  </si>
  <si>
    <t>기타교육</t>
  </si>
  <si>
    <t>접대비</t>
  </si>
  <si>
    <t>공고,홍보책자</t>
  </si>
  <si>
    <t>잡    비</t>
  </si>
  <si>
    <t xml:space="preserve"> 4240 진료재료비</t>
  </si>
  <si>
    <t>마    약</t>
  </si>
  <si>
    <t>일반약품</t>
  </si>
  <si>
    <t>수술재료</t>
  </si>
  <si>
    <t>방사선재료</t>
  </si>
  <si>
    <t>검사재료</t>
  </si>
  <si>
    <t>의료소모품</t>
  </si>
  <si>
    <t>피복침구비</t>
  </si>
  <si>
    <t>4243 급  식  비</t>
  </si>
  <si>
    <t>급식재료비</t>
  </si>
  <si>
    <t>4244 혈  액  비</t>
  </si>
  <si>
    <t>외부검사료</t>
  </si>
  <si>
    <t>연구비</t>
  </si>
  <si>
    <t>잡손실</t>
  </si>
  <si>
    <t>4422 진료비 에누리, 감면</t>
  </si>
  <si>
    <t>진료 에누리 감면</t>
  </si>
  <si>
    <t>4423 외환차손</t>
  </si>
  <si>
    <t>고유목적사업지출</t>
  </si>
  <si>
    <t>4512 법정부담 전출금</t>
  </si>
  <si>
    <t>4514 법 인 전 출 금</t>
  </si>
  <si>
    <t xml:space="preserve">4600 예  비  비 </t>
  </si>
  <si>
    <t xml:space="preserve"> 4610 예  비  비</t>
  </si>
  <si>
    <t>4611 예  비  비</t>
  </si>
  <si>
    <t>예비비</t>
  </si>
  <si>
    <t>4900 진료비감면</t>
  </si>
  <si>
    <t>진료비 에누리,감면</t>
  </si>
  <si>
    <t>1200 투자와기타자산지출</t>
  </si>
  <si>
    <t xml:space="preserve"> 1220 투자자산지출</t>
  </si>
  <si>
    <t>1221 투자유가증권매입대</t>
  </si>
  <si>
    <t>1222 출자금지출</t>
  </si>
  <si>
    <t>1312,3 건물 및부속설비</t>
  </si>
  <si>
    <t>본관리모델링</t>
  </si>
  <si>
    <t>1314 의료기기매입비</t>
  </si>
  <si>
    <t>신규장비및노후장비교체</t>
  </si>
  <si>
    <t>의료비품</t>
  </si>
  <si>
    <t>일반비품</t>
  </si>
  <si>
    <t>전산비품</t>
  </si>
  <si>
    <t>도서</t>
  </si>
  <si>
    <t>1318 기계장치</t>
  </si>
  <si>
    <t>휴게실공사</t>
  </si>
  <si>
    <t>기타공사</t>
  </si>
  <si>
    <t xml:space="preserve"> 1320유형고정자산매입지출</t>
  </si>
  <si>
    <t>1321 유형고정자산매입지출</t>
  </si>
  <si>
    <t>신포괄수가구축</t>
  </si>
  <si>
    <t>2221 임대보증금상환</t>
  </si>
  <si>
    <t>미사용차기이월예산액</t>
  </si>
  <si>
    <t xml:space="preserve"> 자 금 지 출 총 계</t>
  </si>
  <si>
    <t>권역외상센타 1,700,000,000   응급실보조금 55,000,000
신생아집중치료 100,000,000   자살예방 90,000,000  
결핵관리보조금 70,000,000     감염병  10,000,000
규제특구보조금 1,100,000,000 기타 20,000,000원</t>
  </si>
  <si>
    <t>주차장, 직원식대, 임상용역수입, 실습비, 코로나손실보상금등</t>
  </si>
  <si>
    <t>2020학년도 
실적</t>
  </si>
  <si>
    <t>2020학년도 
추경예산(A)</t>
  </si>
  <si>
    <t xml:space="preserve">월평균 600,000,000원 </t>
  </si>
  <si>
    <t xml:space="preserve">월평균 2,335,000,000원 </t>
  </si>
  <si>
    <t xml:space="preserve">월평균 606,000,000원 </t>
  </si>
  <si>
    <t xml:space="preserve">월평균 2,210,850,000원 </t>
  </si>
  <si>
    <t xml:space="preserve">월평균 239,000,000원 </t>
  </si>
  <si>
    <t xml:space="preserve"> 월평균 461,000,000원</t>
  </si>
  <si>
    <t>승강기유지 : 73,600,000, 비상발전 : 13,200,000
 기타공사비 : 315,200,000</t>
  </si>
  <si>
    <t>의료장비수선3,009,000,000 전산장비외 320,000,000
 기타수선비 : 408,000,000</t>
  </si>
  <si>
    <t>비티씨투,세탁,시설,간호,콜센타,폐기물</t>
  </si>
  <si>
    <t>건물화재보험외</t>
  </si>
  <si>
    <t>정수기, 무인수납기, 의료장비 임차료</t>
  </si>
  <si>
    <t>직원 출장여비 국내 41,000,000
                       해외 100,000,000</t>
  </si>
  <si>
    <t>유류, 수리, 보험등</t>
  </si>
  <si>
    <t>기타소모품비 333,000,000  사무용품 32,000,000</t>
  </si>
  <si>
    <t>연료비</t>
  </si>
  <si>
    <t xml:space="preserve"> 전기료2,001,000,000 수도료 418,000,000</t>
  </si>
  <si>
    <t>전화료 120,000,000  우편료 95,000,000</t>
  </si>
  <si>
    <t>증여세,부가세, 재산세, 장애인분담, 교통유발부담
 환경개선부담금 등</t>
  </si>
  <si>
    <t xml:space="preserve">카드수수료 880,000,000  지급수수료 930,000,000 </t>
  </si>
  <si>
    <t>계약학과등록금 180,000,000  직원교육 380,000,000</t>
  </si>
  <si>
    <t xml:space="preserve"> 의정부 병원</t>
  </si>
  <si>
    <t xml:space="preserve"> 임차보증금</t>
  </si>
  <si>
    <t xml:space="preserve">   임대보증금상환(파리바게트) </t>
  </si>
  <si>
    <t>2020년 추가경정예산안</t>
  </si>
  <si>
    <t>규제특구</t>
  </si>
  <si>
    <t xml:space="preserve"> 1320무형고정자산매입지출</t>
  </si>
  <si>
    <t xml:space="preserve"> 1321무형고정자산매입지출</t>
  </si>
  <si>
    <t>신포괄수가구축</t>
  </si>
  <si>
    <t>수술재료13,034,000,000   검사재료 :2,768,000,000
 동위원소 550,000,000   기타재료 850,000,000</t>
  </si>
  <si>
    <t>기타투자자산</t>
  </si>
  <si>
    <t>1222 기 타 투 자 자 산</t>
  </si>
  <si>
    <t>의정부병원</t>
  </si>
  <si>
    <t>본관리모델링공사 외</t>
  </si>
  <si>
    <t>인력개발원</t>
  </si>
  <si>
    <t xml:space="preserve"> 둔산동 1312번지</t>
  </si>
  <si>
    <t>본관리모델링공사외 1,843,844,000
 인력개발원 959,850,000  둔산동 1312번지 86,306,000</t>
  </si>
  <si>
    <t>둔산동 1312</t>
  </si>
  <si>
    <t>일반약품 30,000,000,000   마약 1,000,000,000</t>
  </si>
  <si>
    <t>의료비품 400,000,000 일반비품 : 100,000,000
 전산비품 1,400,000,000</t>
  </si>
  <si>
    <t>의료시스템구축공사 : 1,500,000,000
 병실안내공사  : 200,000,000
 본관리모델링공사외500,000,000</t>
  </si>
  <si>
    <t>의료시스템구축공사</t>
  </si>
  <si>
    <t>병실안내공사</t>
  </si>
  <si>
    <t>본관리모델링공사외</t>
  </si>
  <si>
    <t>신경외과 Neuro Endoscope System</t>
  </si>
  <si>
    <t>흉부외과 Heater Cooler Unit</t>
  </si>
  <si>
    <t>이빈인후과  Endoscope System</t>
  </si>
  <si>
    <t>정형외과 Power Drill System</t>
  </si>
  <si>
    <t>임차보증금</t>
  </si>
  <si>
    <t>주차장,코로나지원금,연구용역수입,실습비등</t>
  </si>
  <si>
    <t>건강보험료 외</t>
  </si>
  <si>
    <t>영상의학과(MRI System)</t>
  </si>
  <si>
    <t>Ultrasound Sonograpy</t>
  </si>
  <si>
    <t>Endoscopic Video System&amp; Scope</t>
  </si>
  <si>
    <t>공급실 세척기</t>
  </si>
  <si>
    <t>건강검진 6,576,000,000    수탁 35,000,000
산업보건 610,000,000</t>
  </si>
  <si>
    <t>법인전입금</t>
  </si>
  <si>
    <t>자산전입금</t>
  </si>
  <si>
    <t>권역외상센타 1,700,000,000   응급실보조금 55,000,000
신생아집중치료 100,000,000   자살예방 90,000,000  
결핵관리보조금 70,000,000     감염병  10,000,000
규제특구보조금 1,100,000,000 기타 20,000,000원</t>
  </si>
  <si>
    <t>주차장, 직원식대, 임상용역수입, 실습비, 코로나손실보상금등</t>
  </si>
  <si>
    <t xml:space="preserve">정기예금 8건 </t>
  </si>
  <si>
    <t>장기차임금</t>
  </si>
  <si>
    <t>2020학년 을지대학교병원 추가경정예산 (안)</t>
  </si>
  <si>
    <t>①</t>
  </si>
  <si>
    <t>②</t>
  </si>
  <si>
    <t>③</t>
  </si>
  <si>
    <r>
      <t>(</t>
    </r>
    <r>
      <rPr>
        <sz val="11"/>
        <rFont val="돋움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원</t>
    </r>
    <r>
      <rPr>
        <sz val="11"/>
        <rFont val="Arial"/>
        <family val="2"/>
      </rPr>
      <t>)</t>
    </r>
  </si>
  <si>
    <t>2020학년도 
본예산(B)</t>
  </si>
  <si>
    <t>2020학년도 
실적</t>
  </si>
  <si>
    <r>
      <t>20</t>
    </r>
    <r>
      <rPr>
        <sz val="11"/>
        <rFont val="돋움"/>
        <family val="3"/>
      </rPr>
      <t>20</t>
    </r>
    <r>
      <rPr>
        <sz val="11"/>
        <rFont val="돋움"/>
        <family val="3"/>
      </rPr>
      <t>학년도 
추경예산(A)</t>
    </r>
  </si>
  <si>
    <t xml:space="preserve">대전 월평균 600,000,000원 </t>
  </si>
  <si>
    <t xml:space="preserve">월평균 2,335,000,000원 </t>
  </si>
  <si>
    <t>임시직보수</t>
  </si>
  <si>
    <t>승강기유지 : 73,600,000, 비상발전 : 13,200,000
 기타공사비 : 315,200,000</t>
  </si>
  <si>
    <t>의료장비수선3,009,000,000 전산장비외 320,000,000
 기타수선비 : 408,000,000</t>
  </si>
  <si>
    <t>비티씨투,세탁,시설,간호,콜센타,폐기물</t>
  </si>
  <si>
    <t>건물화재보험외</t>
  </si>
  <si>
    <t>정수기, 무인수납기, 의료장비 임차료</t>
  </si>
  <si>
    <t>직원 출장여비 국내 41,000,000
                       해외 100,000,000</t>
  </si>
  <si>
    <t>유류, 수리, 보험등</t>
  </si>
  <si>
    <t>기타소모품비 333,000,000  사무용품 32,000,000</t>
  </si>
  <si>
    <t>연료비</t>
  </si>
  <si>
    <t xml:space="preserve"> 전기료2,001,000,000 수도료 418,000,000</t>
  </si>
  <si>
    <t>전화료 120,000,000  우편료 95,000,000</t>
  </si>
  <si>
    <t>증여세,부가세, 재산세, 장애인분담, 교통유발부담
 환경개선부담금 등</t>
  </si>
  <si>
    <t xml:space="preserve">카드수수료 880,000,000  지급수수료 930,000,000 </t>
  </si>
  <si>
    <t xml:space="preserve"> 식대외 757,000,000</t>
  </si>
  <si>
    <t>계약학과등록금 160,000,000  직원교육 380,000,000</t>
  </si>
  <si>
    <t>접대비</t>
  </si>
  <si>
    <t>홍보책자발행등</t>
  </si>
  <si>
    <t>일반약품31,000,000,000   마약 1,000,000,000</t>
  </si>
  <si>
    <t>수술재료13,434,000,000   검사재료 :5,000,000,000
 동위원소 550,000,000   기타재료 850,000,000</t>
  </si>
  <si>
    <t>의료소모품비 9,900,000,000 피복침구 100,000,000</t>
  </si>
  <si>
    <t>혈액비</t>
  </si>
  <si>
    <t>외부검사비</t>
  </si>
  <si>
    <t>연구학생경비</t>
  </si>
  <si>
    <t>연구비</t>
  </si>
  <si>
    <t>의료분쟁위자료</t>
  </si>
  <si>
    <t>진료비감면</t>
  </si>
  <si>
    <t>진료비에누리</t>
  </si>
  <si>
    <t>진료비할인,감면</t>
  </si>
  <si>
    <t>인건비</t>
  </si>
  <si>
    <t>법인전출금</t>
  </si>
  <si>
    <t>출자금지출</t>
  </si>
  <si>
    <t>투자유가증권매입대</t>
  </si>
  <si>
    <t>고정자산
매입지출</t>
  </si>
  <si>
    <t xml:space="preserve"> 둔산동 1343번지</t>
  </si>
  <si>
    <t xml:space="preserve"> 둔산동 1343번지 1,933,470,000  간호기숙사리모델링 143,700,000
 본관리모델링공사외 1,331,830,000</t>
  </si>
  <si>
    <t>의료기기매입비</t>
  </si>
  <si>
    <t>의료비품 400,000,000 일반비품 : 1,400,000,000
 전산비품 100,000,000</t>
  </si>
  <si>
    <t>기계장치</t>
  </si>
  <si>
    <t>도서구입비</t>
  </si>
  <si>
    <t xml:space="preserve"> 도서구입 1,000,000</t>
  </si>
  <si>
    <t>방문객출입통제시스템 : 40,000,000
 간호기숙사리모델링  : 200,000,000
 감염격리실공사 : 1,500,000,000
 기타공사 : 908,317,628</t>
  </si>
  <si>
    <t xml:space="preserve"> 임대보증금상환(파리바게트)</t>
  </si>
  <si>
    <t>2020학년 을지대학교병원 추가경정예산 (안)</t>
  </si>
  <si>
    <t>◎ 의정부 을지대학교병원</t>
  </si>
  <si>
    <r>
      <t>(</t>
    </r>
    <r>
      <rPr>
        <sz val="11"/>
        <rFont val="돋움"/>
        <family val="3"/>
      </rPr>
      <t>수입의부)</t>
    </r>
  </si>
  <si>
    <r>
      <t>(</t>
    </r>
    <r>
      <rPr>
        <sz val="11"/>
        <rFont val="돋움"/>
        <family val="3"/>
      </rPr>
      <t>단위 : 원)</t>
    </r>
  </si>
  <si>
    <t>2020학년도 
본예산(B)</t>
  </si>
  <si>
    <t>2020학년도 
실적</t>
  </si>
  <si>
    <t>합 계
(실적+잔여)</t>
  </si>
  <si>
    <t>2020학년도 
추경예산(A)</t>
  </si>
  <si>
    <t>법인 전입금</t>
  </si>
  <si>
    <t>자산전입금</t>
  </si>
  <si>
    <t>배당금수입</t>
  </si>
  <si>
    <t>기타수익재산수입</t>
  </si>
  <si>
    <t>토지매각대</t>
  </si>
  <si>
    <t>건물매각대</t>
  </si>
  <si>
    <t>차량운반구매각대</t>
  </si>
  <si>
    <t>기계기구매각대</t>
  </si>
  <si>
    <t>기타고정부채</t>
  </si>
  <si>
    <t>임대보증금수입</t>
  </si>
  <si>
    <t>장기차입금</t>
  </si>
  <si>
    <t>◎ 의정부 을지대학교병원</t>
  </si>
  <si>
    <r>
      <t>(</t>
    </r>
    <r>
      <rPr>
        <sz val="11"/>
        <rFont val="돋움"/>
        <family val="3"/>
      </rPr>
      <t>지출의부)</t>
    </r>
  </si>
  <si>
    <t>2020학년도 
실적</t>
  </si>
  <si>
    <t>합 계
(실적+잔여)</t>
  </si>
  <si>
    <t>2020학년도 
추경예산(A)</t>
  </si>
  <si>
    <t xml:space="preserve"> </t>
  </si>
  <si>
    <t>◎ 대전 을지대학교병원</t>
  </si>
  <si>
    <r>
      <t>(</t>
    </r>
    <r>
      <rPr>
        <sz val="11"/>
        <rFont val="돋움"/>
        <family val="3"/>
      </rPr>
      <t xml:space="preserve">수입의부) </t>
    </r>
  </si>
  <si>
    <t>◎ 을지대학교병원 합산</t>
  </si>
  <si>
    <r>
      <t>(</t>
    </r>
    <r>
      <rPr>
        <sz val="11"/>
        <rFont val="돋움"/>
        <family val="3"/>
      </rPr>
      <t xml:space="preserve">지출의부) </t>
    </r>
  </si>
  <si>
    <t>2020년 추가경정예산안</t>
  </si>
  <si>
    <t>(2020. 3. 1 부터  2021. 2. 28 까지)</t>
  </si>
  <si>
    <r>
      <t xml:space="preserve">  1. 수입의</t>
    </r>
    <r>
      <rPr>
        <sz val="11"/>
        <rFont val="돋움"/>
        <family val="3"/>
      </rPr>
      <t xml:space="preserve"> </t>
    </r>
    <r>
      <rPr>
        <sz val="12"/>
        <rFont val="바탕체"/>
        <family val="1"/>
      </rPr>
      <t>부</t>
    </r>
  </si>
  <si>
    <t>과</t>
  </si>
  <si>
    <t>목</t>
  </si>
  <si>
    <t>추경예산</t>
  </si>
  <si>
    <t>본예산</t>
  </si>
  <si>
    <t>증감</t>
  </si>
  <si>
    <t>작년 보건복지부 자료 외래</t>
  </si>
  <si>
    <t>작년 보건복지부 자료 입원</t>
  </si>
  <si>
    <t>입원(2009년11월까지)</t>
  </si>
  <si>
    <t>외래</t>
  </si>
  <si>
    <t>입원</t>
  </si>
  <si>
    <t>방사선종양학과</t>
  </si>
  <si>
    <t>근전도검사실</t>
  </si>
  <si>
    <t>외래(2009년11월까지)</t>
  </si>
  <si>
    <t>가정의학과</t>
  </si>
  <si>
    <t>신경과</t>
  </si>
  <si>
    <t>외래수익</t>
  </si>
  <si>
    <t>산업의학과</t>
  </si>
  <si>
    <t>(2008년11월까지)</t>
  </si>
  <si>
    <t>신체검사</t>
  </si>
  <si>
    <t>원무과</t>
  </si>
  <si>
    <t>암건진</t>
  </si>
  <si>
    <t>5200전입금및기부수입</t>
  </si>
  <si>
    <t xml:space="preserve"> 5210 전입금수입</t>
  </si>
  <si>
    <t>5211 경상비 전입금</t>
  </si>
  <si>
    <t>5428 고정자산처분익</t>
  </si>
  <si>
    <t>5433 외  환  차  익</t>
  </si>
  <si>
    <t>1200 투자와기타자산수입</t>
  </si>
  <si>
    <t>1232 연구기금인출</t>
  </si>
  <si>
    <t>1233 건축기금인출</t>
  </si>
  <si>
    <t>1235 퇴직기금인출</t>
  </si>
  <si>
    <t xml:space="preserve"> </t>
  </si>
  <si>
    <t>2221 임대보증금 수입</t>
  </si>
  <si>
    <t xml:space="preserve"> 3110 출연기본금</t>
  </si>
  <si>
    <t>3112 법인</t>
  </si>
  <si>
    <t>결산전기이월액</t>
  </si>
  <si>
    <t>2020년 추가경정예산안</t>
  </si>
  <si>
    <t>(2020. 3. 1 부터  2021. 2. 28 까지)</t>
  </si>
  <si>
    <t>과</t>
  </si>
  <si>
    <t>목</t>
  </si>
  <si>
    <t>추경예산</t>
  </si>
  <si>
    <t>본예산</t>
  </si>
  <si>
    <t>증감</t>
  </si>
  <si>
    <t>예산절감액</t>
  </si>
  <si>
    <t>4100 보    수</t>
  </si>
  <si>
    <t xml:space="preserve"> 4110 교 원 보 수</t>
  </si>
  <si>
    <t>4216 보   험   료</t>
  </si>
  <si>
    <t xml:space="preserve"> 4210 시설 관리비</t>
  </si>
  <si>
    <t>4217 리스 임차료</t>
  </si>
  <si>
    <t xml:space="preserve"> 4220 일반관리비</t>
  </si>
  <si>
    <t>4228 제 세 공 과 금</t>
  </si>
  <si>
    <t xml:space="preserve"> 4240 진료재료비</t>
  </si>
  <si>
    <t>수기입력</t>
  </si>
  <si>
    <t>4243 급식재료비</t>
  </si>
  <si>
    <t>4244 혈  액  비</t>
  </si>
  <si>
    <t>우연의 일치 확인했음.</t>
  </si>
  <si>
    <t>4422 진료비 에누리, 감면</t>
  </si>
  <si>
    <t>4423 외환차손</t>
  </si>
  <si>
    <t>4512 법정부담 전출금</t>
  </si>
  <si>
    <t>4514 법 인 전 출 금</t>
  </si>
  <si>
    <t xml:space="preserve">4600 예  비  비 </t>
  </si>
  <si>
    <t xml:space="preserve"> 4610 예  비  비</t>
  </si>
  <si>
    <t>4611 예  비  비</t>
  </si>
  <si>
    <t>1200 투자와기타자산지출</t>
  </si>
  <si>
    <t xml:space="preserve"> 1220 투자자산지출</t>
  </si>
  <si>
    <t>1221 투자유가증권매입대</t>
  </si>
  <si>
    <t>1222 출자금지출</t>
  </si>
  <si>
    <t>1312,3 건물 및부속설비</t>
  </si>
  <si>
    <t>1314 의료기기매입비</t>
  </si>
  <si>
    <t>1318 기계장치</t>
  </si>
  <si>
    <t>2221 임대보증금상환</t>
  </si>
  <si>
    <t>미사용차기이월예산액</t>
  </si>
  <si>
    <t xml:space="preserve"> 자 금 지 출 총 계</t>
  </si>
  <si>
    <t>보통예금 및 정기예금</t>
  </si>
  <si>
    <t>(대전)</t>
  </si>
  <si>
    <t>(의정부)</t>
  </si>
  <si>
    <t>의정부 을지대학교병원</t>
  </si>
  <si>
    <t>증감액</t>
  </si>
  <si>
    <t>구성비</t>
  </si>
  <si>
    <t>비고</t>
  </si>
  <si>
    <t>운영수입</t>
  </si>
  <si>
    <t>의료수입</t>
  </si>
  <si>
    <t>관리운영비</t>
  </si>
  <si>
    <t>의료외수입</t>
  </si>
  <si>
    <t>투자와기타자산지출</t>
  </si>
  <si>
    <t>고정부채입금</t>
  </si>
  <si>
    <t>고정자산매입지출</t>
  </si>
  <si>
    <t>기본금</t>
  </si>
  <si>
    <t>전기이월자금</t>
  </si>
  <si>
    <t>차기이월자금</t>
  </si>
  <si>
    <t>합계</t>
  </si>
  <si>
    <t>2020년 추경예산</t>
  </si>
  <si>
    <t>2020년 본예산</t>
  </si>
  <si>
    <t>유동부채입금</t>
  </si>
  <si>
    <t xml:space="preserve"> 예비비                             5,000,000천원</t>
  </si>
  <si>
    <t xml:space="preserve">   - 의 료 질 향 상     104,100천원(노후장비교체)</t>
  </si>
  <si>
    <t xml:space="preserve">   - 의 료 질 향 상      53,900천원(정형외과 Power Drill System)</t>
  </si>
  <si>
    <t xml:space="preserve">   - 의 료 질 향 상      73,000천원(이빈인후과  Endoscope System)</t>
  </si>
  <si>
    <t xml:space="preserve">   - 의 료 질 향 상      94,000천원(흉부외과 Heater Cooler Unit)</t>
  </si>
  <si>
    <t xml:space="preserve">   - 의 료 질 향 상     125,000천원(신경외과 Neuro Endoscope System)</t>
  </si>
  <si>
    <t xml:space="preserve">   - 의 료 질 향 상     200,000천원(공급실 세척기)</t>
  </si>
  <si>
    <t xml:space="preserve">   - 의 료 질 향 상     450,000천원(열관외과 Ultrasound Sonograpy System)</t>
  </si>
  <si>
    <t xml:space="preserve">   - 의 료 질 향 상   2,100,000천원(소화기내과외Endoscopic Video System&amp; Scope)</t>
  </si>
  <si>
    <t xml:space="preserve">   - 의 료 질 향 상   2,800,000천원(영상의학과 MRI System)</t>
  </si>
  <si>
    <t xml:space="preserve">  ⑤ 연    구    비   1,719,000천원</t>
  </si>
  <si>
    <t xml:space="preserve">  ④ 진 료 에 누 리   3,000,000천원 </t>
  </si>
  <si>
    <t xml:space="preserve">  ③ 잡    손    실     500,000천원</t>
  </si>
  <si>
    <t xml:space="preserve"> 나. 지출</t>
  </si>
  <si>
    <t xml:space="preserve">  ④ 임 대 료 수 입   1,400,000천원</t>
  </si>
  <si>
    <t xml:space="preserve">  ② 전입기부금수입   3,145,000천원 </t>
  </si>
  <si>
    <t xml:space="preserve"> 가. 수입</t>
  </si>
  <si>
    <t>3. 주요 사업계획 개요</t>
  </si>
  <si>
    <t xml:space="preserve"> 다. 조직활성화 및 직원교육(CPR,직원안전,소방,감염예방교육)을 위한 예산편성</t>
  </si>
  <si>
    <t xml:space="preserve"> 나. 환자안전, 환자만족도향상, 의료의 질향상(첨단의료기기도입)을 위한 예산편성</t>
  </si>
  <si>
    <t xml:space="preserve"> 가. 수입재원 범위내 건전한 지출예산 편성</t>
  </si>
  <si>
    <t>2. 예산편성 기본방침</t>
  </si>
  <si>
    <t>2020년 추 가 경 정 예 산 안  총 칙</t>
  </si>
  <si>
    <t xml:space="preserve"> 금산전출 120,000,000  강남전출 1,500,000,000 
 법인(종부세외) : 5,167,000,000</t>
  </si>
  <si>
    <t>전세보증금 등</t>
  </si>
  <si>
    <t>2020년 추가경정예산안 총괄표</t>
  </si>
  <si>
    <t>(단위:천원)</t>
  </si>
  <si>
    <t>관별</t>
  </si>
  <si>
    <t>2020년 본예산</t>
  </si>
  <si>
    <t>비고</t>
  </si>
  <si>
    <t>운영수입</t>
  </si>
  <si>
    <t>의료수입</t>
  </si>
  <si>
    <t>전입및기부수입</t>
  </si>
  <si>
    <t>관리운영비</t>
  </si>
  <si>
    <t xml:space="preserve"> 보증금환입                      152,000천원</t>
  </si>
  <si>
    <t>기본금</t>
  </si>
  <si>
    <t>고정부채상환</t>
  </si>
  <si>
    <t>차기이월자금</t>
  </si>
  <si>
    <t>합계</t>
  </si>
  <si>
    <t xml:space="preserve"> 금산전출 120,000,000  강남전출 1,500,000,000 
 법인(종부세외) : 5,224,032,372</t>
  </si>
  <si>
    <t xml:space="preserve"> 월평균 461,000,000</t>
  </si>
  <si>
    <t>월평균 239,000,000</t>
  </si>
  <si>
    <t>월평균 2,210,850,000</t>
  </si>
  <si>
    <t>월평균 606,000,000</t>
  </si>
  <si>
    <t xml:space="preserve">  ⑤ 기 타자산수 입     152,000천원</t>
  </si>
  <si>
    <t xml:space="preserve">  ⑥ 연구용역 수 입   1,600,000천원 </t>
  </si>
  <si>
    <t xml:space="preserve">  ⑦ 주 차 및 기 타   1,600,000천원</t>
  </si>
  <si>
    <t>(의정부)</t>
  </si>
  <si>
    <t>진료교수수당</t>
  </si>
  <si>
    <t>전 기 료 및 수도료</t>
  </si>
  <si>
    <t>의정부병원</t>
  </si>
  <si>
    <t>의정부병원 의료기기</t>
  </si>
  <si>
    <t>임대보증금상환(파리바게트)</t>
  </si>
  <si>
    <t>유동부채차입금</t>
  </si>
  <si>
    <t xml:space="preserve"> 전기이월자금                  1,860,116천원</t>
  </si>
  <si>
    <t>2020년 추가경정예산안 총괄표</t>
  </si>
  <si>
    <t>대전을지대학교병원</t>
  </si>
  <si>
    <t>(단위:천원)</t>
  </si>
  <si>
    <t>관별</t>
  </si>
  <si>
    <t>2020년 추경예산</t>
  </si>
  <si>
    <t>2020년 본예산</t>
  </si>
  <si>
    <t>증감액</t>
  </si>
  <si>
    <t>구성비</t>
  </si>
  <si>
    <t>비고</t>
  </si>
  <si>
    <t>관별</t>
  </si>
  <si>
    <t>증감액</t>
  </si>
  <si>
    <t>구성비</t>
  </si>
  <si>
    <t>비고</t>
  </si>
  <si>
    <t>운영수입</t>
  </si>
  <si>
    <t>의료수입</t>
  </si>
  <si>
    <t>운영지출</t>
  </si>
  <si>
    <t>보수</t>
  </si>
  <si>
    <t>관리운영비</t>
  </si>
  <si>
    <t>의료외수입</t>
  </si>
  <si>
    <t>투자와
기타자산수입</t>
  </si>
  <si>
    <t>전출금</t>
  </si>
  <si>
    <t>고정부채상환</t>
  </si>
  <si>
    <t xml:space="preserve"> 보증금상환</t>
  </si>
  <si>
    <t>전기이월자금</t>
  </si>
  <si>
    <t xml:space="preserve"> 전기이월자금                121,447,948천원</t>
  </si>
  <si>
    <t>차기이월자금</t>
  </si>
  <si>
    <t>합계</t>
  </si>
  <si>
    <t>고정부채상환</t>
  </si>
  <si>
    <t xml:space="preserve"> 전기이월 결산                            91,160,496,560</t>
  </si>
  <si>
    <t>(단위:천원)</t>
  </si>
  <si>
    <t>대전 5,000,000,000
의정부 2,000,000,000</t>
  </si>
  <si>
    <t>2020년 추가경정예산안 총괄표</t>
  </si>
  <si>
    <t xml:space="preserve"> 차기이월자금                       5,606,543천원</t>
  </si>
  <si>
    <t xml:space="preserve"> 지급이자                           1,000,000천원</t>
  </si>
  <si>
    <t xml:space="preserve"> 권역외상센타                  1,700,000천원
 응급실보조금                     55,000천원
 신생아집중치료실                100,000천원
 자살예방관리                     90,000천원
 결핵관리                         70,000천원
 규체특구사업                  1,100,000천원
 기타                             30,000천원
</t>
  </si>
  <si>
    <t xml:space="preserve"> 예금이자                      1,972,000천원
 임대료                        1,400,000천원
 연구용역수입                  1,600,000천원
 주차                            300,000천원
 기타                          1,300,000천원</t>
  </si>
  <si>
    <t xml:space="preserve"> 차기이월자금                      62,961,251천원</t>
  </si>
  <si>
    <t xml:space="preserve"> 연구비등                           2,219,000천원
 진료비에누리                       3,000,000천원</t>
  </si>
  <si>
    <t xml:space="preserve"> 둔산동 1312(토지+건물)               128,306천원
 건물(본관리모델링 외)              2,803,694천원
 의료기기                           6,000,000천원
 의료용비품                         4,100,000천원
 일반비품(전산포함)                 1,000,000천원
 의료시스템구축공사                 1,500,000천원   
 병실안내공사                         200,000천원
 신포괄구축사업                       275,000천원
 본관리모델링공사외                   500,000천원  
 도서구입비                             1,000천원</t>
  </si>
  <si>
    <t>의정부병원</t>
  </si>
  <si>
    <t xml:space="preserve"> 용역비                               200,000천원   
 난방비                               300,000천원
 전기 및 수도료                       700,000천원 
 기타관리운영비                     2,243,310천원
 재 료 비                           2,700,000천원
  - 약품                            1,000,000천원
  - 진료재료                        1,000,000천원
  - 의료소모품                        500,000천원
  - 급식비                            200,000천원</t>
  </si>
  <si>
    <t xml:space="preserve"> 토지                                 100,000천원
 건물및부속설비                    95,813,349천원    
 의료기기                          50,000,000천원
 비품                              21,883,371천원 
 차량                                 703,280천원
 기계                               1,000,000천원
 도서                                 500,000천원</t>
  </si>
  <si>
    <t xml:space="preserve"> 임상교수                           7,800,000천원
 직    원                          61,822,200천원
 법정부담금                         2,898,000천원
 퇴  직  금                         5,532,000천원 </t>
  </si>
  <si>
    <t xml:space="preserve"> 경상비전출금                       5,500,000천원
 고유목적사업지출                   6,710,000천원</t>
  </si>
  <si>
    <t xml:space="preserve"> 건축물관리비                         500,000천원 
 장비수선비                         3,737,000천원
 용역비                             9,436,000천원   
 난방비                             1,040,000천원
 전기료                             2,161,000천원 
 수도료                               426,000천원
 기타관리운영비                     7,980,000천원
 재 료 비                          66,161,000천원
  - 약품         32,000,000천원(매출액대비16.20%) 
  - 진료재료     18,401,000천원(매출액대비 9.10%)
  - 의료소모품   10,000,000천원(매출액대비 5.22%)
  - 급식비                          1,610,000천원
  - 혈액비 2,075,000천원.외주검사비 2,075,000천원</t>
  </si>
  <si>
    <t xml:space="preserve"> 입원수입                    128,333,503천원
 외래수입                     70,458,000천원
 종합검진                      8,320,000천원
 수탁검사                         40,000천원
 산업보건                      1,000,000천원</t>
  </si>
  <si>
    <t>을지대학교병원 합산</t>
  </si>
  <si>
    <t xml:space="preserve">둔산동 1312(토지+건물)                128,306천원
의정부병원(토지+건물및부속)        95,913,349천원  
건물(대전본관리모델링 외)           2,803,694천원
의료기기                           56,000,000천원
의료용비품                         21,606,697천원
일반비품(전산포함)                  5,376,674천원
의료시스템구축공사                  1,500,000천원   
병실안내공사                          200,000천원
신포괄구축사업                        275,000천원
본관리모델링공사외                    500,000천원
도서구입비                            501,000천원    
기계장치                            1,000,000천원    
차량운반구                            703,280천원 </t>
  </si>
  <si>
    <t xml:space="preserve"> 보증금상환                             430,000천원</t>
  </si>
  <si>
    <t xml:space="preserve"> 차기이월자금                        68,567,794천원</t>
  </si>
  <si>
    <t xml:space="preserve">  임차보증금                            874,000천원</t>
  </si>
  <si>
    <t xml:space="preserve">  예비비                         대전 5,000,000천원
                               의정부 2,000,000천원</t>
  </si>
  <si>
    <t xml:space="preserve">  경상비전출금                        5,500,000천원
  고유목적사업지출                    6,710,000천원</t>
  </si>
  <si>
    <t xml:space="preserve">  건축물관리비                          500,000천원 
  장비수선비                          3,737,000천원
  용역비                              9,636,000천원   
  난방비                              1,340,000천원
  전기및수도료                        3,287,000천원 
  기타관리운영비                     10,223,310천원
  재 료 비                           68,861,000천원
  - 약품                             33,000,000천원
  - 진료재료                         19,401,000천원
  - 의료소모품                       10,500,000천원
  - 급식비                            1,810,000천원
  - 혈액비 2,075,000천원.  외주검사비 2,075,000천원</t>
  </si>
  <si>
    <t xml:space="preserve">  임상교수                            9,800,000천원
  직    원                           68,822,200천원
  법정부담금                          3,398,000천원
  퇴  직  금                          5,832,000천원 </t>
  </si>
  <si>
    <t xml:space="preserve"> 전기이월자금                 123,308,064천원</t>
  </si>
  <si>
    <t xml:space="preserve"> 차입금                       110,000,000천원
 임대보증금                       890,000천원</t>
  </si>
  <si>
    <t xml:space="preserve"> 예금이자                       1,998,736천원
 임대료                         1,400,000천원
 연구용역수입                   1,600,000천원
 주차                             300,000천원
 기타                           1,300,000천원</t>
  </si>
  <si>
    <t xml:space="preserve"> 권역외상센타                   1,700,000천원
 응급실보조금                      55,000천원
 신생아집중치료실                 100,000천원
 자살예방관리                      90,000천원
 결핵관리                          70,000천원
 규체특구사업                   1,100,000천원
 기타                              30,000천원
</t>
  </si>
  <si>
    <t xml:space="preserve"> 입원수입                     128,333,503천원
 외래수입                      70,458,000천원
 종합검진                       8,320,000천원
 수탁검사                          40,000천원
 산업보건                       1,000,000천원</t>
  </si>
  <si>
    <t xml:space="preserve">  </t>
  </si>
  <si>
    <t xml:space="preserve"> 임상교수                           2,000,000천원
 직    원                           7,000,000천원
 법정부담금                           500,000천원
 퇴  직  금                           300,000천원 </t>
  </si>
  <si>
    <t>1. 자금예산 규모 : 467,245,304천원</t>
  </si>
  <si>
    <t xml:space="preserve">  ① 의  료  수  입 208,151,503천원</t>
  </si>
  <si>
    <t xml:space="preserve">  ③ 예금 이자 수입   1,998,736천원</t>
  </si>
  <si>
    <t xml:space="preserve">  ⑨ 기  타  수  입  15,000,000천원</t>
  </si>
  <si>
    <t xml:space="preserve">  ⑧ 고정부채 수 입 110,890,000천원</t>
  </si>
  <si>
    <t xml:space="preserve">  ① 인    건    비  87,852,200천원</t>
  </si>
  <si>
    <t xml:space="preserve">  ② 관 리 운 영 비  97,584,310천원</t>
  </si>
  <si>
    <t xml:space="preserve">   - 시 설 관 리 비  14,168,000천원(환자안전, 환자만족도향상,수선비 등)</t>
  </si>
  <si>
    <t xml:space="preserve">   - 일 반 관 리 비  11,911,000천원(전기수도료, 난방비, 제세공과금 등)  </t>
  </si>
  <si>
    <t xml:space="preserve">   - 운    영    비   2,644,310천원(복리후생비,교육훈련비(CPR,소방,감염예방 등))</t>
  </si>
  <si>
    <t xml:space="preserve">   - 진 료 재 료 비  68,861,000천원(약품,진료재료비,소모품비 등)</t>
  </si>
  <si>
    <t xml:space="preserve">   - 의 료 질 향 상  50,000,000천원(의정부병원 의료기기)</t>
  </si>
  <si>
    <t xml:space="preserve"> 다.차기이월자금  68,567,794천원</t>
  </si>
  <si>
    <t xml:space="preserve">  ⑥ 지  급  이  자   1,000,000천원</t>
  </si>
  <si>
    <t xml:space="preserve">  ⑦ 전    출    금  12,210,000천원</t>
  </si>
  <si>
    <t xml:space="preserve">  ⑧ 예    비    비   7,000,000천원</t>
  </si>
  <si>
    <t xml:space="preserve">  ⑨ 투자및기타자산     874,000천원</t>
  </si>
  <si>
    <t xml:space="preserve">  ⑪ 건  물  매  입  98,703,350천원</t>
  </si>
  <si>
    <t xml:space="preserve">  ⑫ 의료기기 매 입  56,000,000천원</t>
  </si>
  <si>
    <t xml:space="preserve">  ⑬ 집기비품 매 입  26,983,372천원(전산장비등)</t>
  </si>
  <si>
    <t xml:space="preserve">  ⑭ 차량운반구매입     703,278천원(전산장비등)</t>
  </si>
  <si>
    <r>
      <t xml:space="preserve">  </t>
    </r>
    <r>
      <rPr>
        <sz val="11"/>
        <rFont val="MS PMincho"/>
        <family val="1"/>
      </rPr>
      <t>⑯</t>
    </r>
    <r>
      <rPr>
        <sz val="11"/>
        <rFont val="바탕체"/>
        <family val="1"/>
      </rPr>
      <t xml:space="preserve"> 기계장치 매 입   1,000,000천원</t>
    </r>
  </si>
  <si>
    <r>
      <t xml:space="preserve">  </t>
    </r>
    <r>
      <rPr>
        <sz val="11"/>
        <rFont val="MS PMincho"/>
        <family val="1"/>
      </rPr>
      <t>⑰</t>
    </r>
    <r>
      <rPr>
        <sz val="11"/>
        <rFont val="바탕체"/>
        <family val="1"/>
      </rPr>
      <t xml:space="preserve"> 건 설 가 계 정   2,200,000천원(리모델링공사외)</t>
    </r>
  </si>
  <si>
    <r>
      <t xml:space="preserve">  </t>
    </r>
    <r>
      <rPr>
        <sz val="11"/>
        <rFont val="MS PMincho"/>
        <family val="1"/>
      </rPr>
      <t>⑱</t>
    </r>
    <r>
      <rPr>
        <sz val="11"/>
        <rFont val="바탕체"/>
        <family val="1"/>
      </rPr>
      <t xml:space="preserve"> 무형자산 매 입     275,000천원</t>
    </r>
  </si>
  <si>
    <r>
      <t xml:space="preserve">  </t>
    </r>
    <r>
      <rPr>
        <sz val="11"/>
        <rFont val="MS PMincho"/>
        <family val="1"/>
      </rPr>
      <t>⑲</t>
    </r>
    <r>
      <rPr>
        <sz val="11"/>
        <rFont val="바탕체"/>
        <family val="1"/>
      </rPr>
      <t xml:space="preserve"> 임대보증금상환     430,000천원</t>
    </r>
  </si>
  <si>
    <t xml:space="preserve">  ⑩ 토 지 매 입 비     142,000천원</t>
  </si>
  <si>
    <t xml:space="preserve">  ⑩ 전기 이월 자금 123,308,064천원</t>
  </si>
  <si>
    <t xml:space="preserve">  ⑮ 도서구입비         501,000천원</t>
  </si>
  <si>
    <t>(단위:천원)</t>
  </si>
  <si>
    <t>(의정부) 2,000,000</t>
  </si>
  <si>
    <t>(대전) 5,000,000</t>
  </si>
  <si>
    <t>(단위:천원)</t>
  </si>
  <si>
    <t xml:space="preserve">법인전입금                                 </t>
  </si>
  <si>
    <t>지급이자</t>
  </si>
  <si>
    <t>(대전)</t>
  </si>
  <si>
    <t>(의정부)</t>
  </si>
  <si>
    <t>보증금 환입 (대전)                                 152,000</t>
  </si>
  <si>
    <t>4234 기관장업무추진비</t>
  </si>
  <si>
    <t>4235 상임이사업무추진비</t>
  </si>
  <si>
    <t>4236 기타업무추진비</t>
  </si>
  <si>
    <t>4234 기관장업무추진비</t>
  </si>
  <si>
    <t>4237 홍    보    비</t>
  </si>
  <si>
    <t>4238 회    의    비</t>
  </si>
  <si>
    <t>4239 행    사    비</t>
  </si>
  <si>
    <t>4241 기 타 운 영 비</t>
  </si>
  <si>
    <t>4234 기관장업무추진비</t>
  </si>
  <si>
    <t>4235 상임이사업무추진비</t>
  </si>
  <si>
    <t>4236 기타업무추진비</t>
  </si>
  <si>
    <t>4237 홍    보    비</t>
  </si>
  <si>
    <t>4238 회    의    비</t>
  </si>
  <si>
    <t>4239 행    사    비</t>
  </si>
  <si>
    <t>4241 기 타 운 영 비</t>
  </si>
  <si>
    <t>기 관 장 업 무 추 진 비</t>
  </si>
  <si>
    <t>상임이사업무추진비</t>
  </si>
  <si>
    <t>기타업무추진비</t>
  </si>
  <si>
    <t>기광장업무추진비</t>
  </si>
  <si>
    <t>상임이사업무추진비</t>
  </si>
  <si>
    <t>기관장업무추진비</t>
  </si>
  <si>
    <t>◎ 부속병원(대전병원+의정부병원)</t>
  </si>
  <si>
    <t>◎ 부속병원(대전병원+의정부병원)</t>
  </si>
  <si>
    <r>
      <t xml:space="preserve">  2. 지출의</t>
    </r>
    <r>
      <rPr>
        <sz val="11"/>
        <rFont val="돋움"/>
        <family val="3"/>
      </rPr>
      <t xml:space="preserve"> </t>
    </r>
    <r>
      <rPr>
        <sz val="12"/>
        <rFont val="바탕체"/>
        <family val="1"/>
      </rPr>
      <t>부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</si>
</sst>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_ ;[Red]\-#,##0\ "/>
    <numFmt numFmtId="181" formatCode="#,##0,"/>
    <numFmt numFmtId="182" formatCode="0.0000%"/>
    <numFmt numFmtId="183" formatCode="#,##0.0_ "/>
    <numFmt numFmtId="184" formatCode="&quot;₩&quot;#,##0"/>
    <numFmt numFmtId="185" formatCode="_ * #,##0_ ;_ * \-#,##0_ ;_ * &quot;-&quot;_ ;_ @_ "/>
    <numFmt numFmtId="186" formatCode="_ * #,##0.00_ ;_ * \-#,##0.00_ ;_ * &quot;-&quot;??_ ;_ @_ "/>
    <numFmt numFmtId="187" formatCode="#,##0,\ ;[Red]\-#,##0,"/>
    <numFmt numFmtId="188" formatCode="#,##0,\ ;[Red]\-#,##0,\ "/>
  </numFmts>
  <fonts count="86">
    <font>
      <sz val="11"/>
      <name val="돋움"/>
      <family val="3"/>
    </font>
    <font>
      <sz val="11"/>
      <color indexed="8"/>
      <name val="맑은 고딕"/>
      <family val="3"/>
    </font>
    <font>
      <b/>
      <sz val="18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20"/>
      <name val="바탕체"/>
      <family val="1"/>
    </font>
    <font>
      <sz val="11"/>
      <name val="바탕체"/>
      <family val="1"/>
    </font>
    <font>
      <b/>
      <sz val="12"/>
      <name val="바탕체"/>
      <family val="1"/>
    </font>
    <font>
      <sz val="12"/>
      <name val="바탕체"/>
      <family val="1"/>
    </font>
    <font>
      <sz val="8"/>
      <name val="바탕체"/>
      <family val="1"/>
    </font>
    <font>
      <b/>
      <sz val="8"/>
      <name val="바탕체"/>
      <family val="1"/>
    </font>
    <font>
      <b/>
      <sz val="11"/>
      <name val="바탕체"/>
      <family val="1"/>
    </font>
    <font>
      <sz val="10"/>
      <name val="바탕체"/>
      <family val="1"/>
    </font>
    <font>
      <b/>
      <sz val="10"/>
      <name val="바탕체"/>
      <family val="1"/>
    </font>
    <font>
      <b/>
      <sz val="9"/>
      <name val="굴림"/>
      <family val="3"/>
    </font>
    <font>
      <b/>
      <u val="single"/>
      <sz val="18"/>
      <name val="바탕체"/>
      <family val="1"/>
    </font>
    <font>
      <u val="single"/>
      <sz val="17"/>
      <name val="바탕체"/>
      <family val="1"/>
    </font>
    <font>
      <u val="single"/>
      <sz val="30"/>
      <name val="바탕체"/>
      <family val="1"/>
    </font>
    <font>
      <sz val="8.4"/>
      <name val="굴림체"/>
      <family val="3"/>
    </font>
    <font>
      <sz val="8.5"/>
      <name val="굴림체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돋움"/>
      <family val="3"/>
    </font>
    <font>
      <b/>
      <sz val="12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2"/>
      <name val="굴림체"/>
      <family val="3"/>
    </font>
    <font>
      <b/>
      <sz val="8"/>
      <name val="굴림체"/>
      <family val="3"/>
    </font>
    <font>
      <b/>
      <sz val="11"/>
      <name val="굴림체"/>
      <family val="3"/>
    </font>
    <font>
      <sz val="8"/>
      <name val="굴림체"/>
      <family val="3"/>
    </font>
    <font>
      <b/>
      <sz val="10"/>
      <name val="굴림체"/>
      <family val="3"/>
    </font>
    <font>
      <sz val="8"/>
      <color indexed="8"/>
      <name val="굴림체"/>
      <family val="3"/>
    </font>
    <font>
      <sz val="9"/>
      <name val="바탕체"/>
      <family val="1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1"/>
      <color indexed="8"/>
      <name val="돋움"/>
      <family val="3"/>
    </font>
    <font>
      <sz val="12"/>
      <color indexed="8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맑은 고딕"/>
      <family val="3"/>
    </font>
    <font>
      <b/>
      <sz val="9"/>
      <name val="돋움"/>
      <family val="3"/>
    </font>
    <font>
      <sz val="8"/>
      <color indexed="8"/>
      <name val="바탕체"/>
      <family val="1"/>
    </font>
    <font>
      <sz val="11"/>
      <color indexed="8"/>
      <name val="바탕체"/>
      <family val="1"/>
    </font>
    <font>
      <sz val="16"/>
      <name val="돋움"/>
      <family val="3"/>
    </font>
    <font>
      <sz val="9"/>
      <name val="굴림"/>
      <family val="3"/>
    </font>
    <font>
      <b/>
      <sz val="9"/>
      <name val="굴림체"/>
      <family val="3"/>
    </font>
    <font>
      <sz val="11"/>
      <name val="MS PMincho"/>
      <family val="1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double"/>
      <top style="thick"/>
      <bottom style="thin"/>
    </border>
    <border>
      <left style="thin"/>
      <right style="thick"/>
      <top style="thick"/>
      <bottom style="thin"/>
    </border>
    <border>
      <left style="thick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thin"/>
      <bottom style="thick"/>
    </border>
    <border>
      <left style="thin"/>
      <right style="thick"/>
      <top style="thin"/>
      <bottom style="thick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>
        <color indexed="10"/>
      </top>
      <bottom style="hair">
        <color indexed="10"/>
      </bottom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/>
    </border>
    <border>
      <left/>
      <right style="thin"/>
      <top style="hair">
        <color indexed="10"/>
      </top>
      <bottom style="hair"/>
    </border>
    <border>
      <left style="thin"/>
      <right style="thin"/>
      <top style="hair"/>
      <bottom style="hair"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thin"/>
      <right style="thin"/>
      <top/>
      <bottom style="thin"/>
    </border>
    <border>
      <left/>
      <right style="hair">
        <color indexed="10"/>
      </right>
      <top/>
      <bottom style="hair">
        <color indexed="10"/>
      </bottom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 style="hair">
        <color indexed="10"/>
      </left>
      <right/>
      <top style="thin"/>
      <bottom style="thin"/>
    </border>
    <border>
      <left/>
      <right style="hair">
        <color indexed="10"/>
      </right>
      <top style="thin"/>
      <bottom style="thin"/>
    </border>
    <border>
      <left style="thin"/>
      <right style="hair">
        <color indexed="10"/>
      </right>
      <top/>
      <bottom/>
    </border>
    <border>
      <left style="hair">
        <color indexed="10"/>
      </left>
      <right style="hair">
        <color indexed="10"/>
      </right>
      <top/>
      <bottom/>
    </border>
    <border>
      <left style="hair">
        <color indexed="10"/>
      </left>
      <right/>
      <top/>
      <bottom style="hair">
        <color indexed="10"/>
      </bottom>
    </border>
    <border>
      <left style="hair">
        <color indexed="10"/>
      </left>
      <right style="hair">
        <color indexed="10"/>
      </right>
      <top/>
      <bottom style="hair">
        <color indexed="10"/>
      </bottom>
    </border>
    <border>
      <left style="thin"/>
      <right style="thin"/>
      <top/>
      <bottom style="hair">
        <color indexed="10"/>
      </bottom>
    </border>
    <border>
      <left/>
      <right style="thin"/>
      <top/>
      <bottom style="hair">
        <color indexed="10"/>
      </bottom>
    </border>
    <border>
      <left style="hair">
        <color indexed="10"/>
      </left>
      <right/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/>
    </border>
    <border>
      <left style="thin"/>
      <right style="hair">
        <color indexed="10"/>
      </right>
      <top/>
      <bottom style="thin"/>
    </border>
    <border>
      <left style="hair">
        <color indexed="10"/>
      </left>
      <right style="hair">
        <color indexed="10"/>
      </right>
      <top/>
      <bottom style="thin"/>
    </border>
    <border>
      <left style="hair">
        <color indexed="10"/>
      </left>
      <right/>
      <top style="hair">
        <color indexed="10"/>
      </top>
      <bottom style="thin"/>
    </border>
    <border>
      <left/>
      <right style="hair">
        <color indexed="10"/>
      </right>
      <top style="hair">
        <color indexed="10"/>
      </top>
      <bottom style="thin"/>
    </border>
    <border>
      <left/>
      <right style="thin"/>
      <top style="hair">
        <color indexed="10"/>
      </top>
      <bottom style="thin"/>
    </border>
    <border>
      <left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/>
      <top style="hair">
        <color indexed="10"/>
      </top>
      <bottom style="hair"/>
    </border>
    <border>
      <left/>
      <right style="hair">
        <color indexed="10"/>
      </right>
      <top style="hair">
        <color indexed="10"/>
      </top>
      <bottom style="hair"/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thin"/>
      <right style="thin"/>
      <top style="hair">
        <color indexed="10"/>
      </top>
      <bottom style="thin"/>
    </border>
    <border>
      <left style="hair">
        <color indexed="10"/>
      </left>
      <right/>
      <top style="hair">
        <color indexed="10"/>
      </top>
      <bottom/>
    </border>
    <border>
      <left/>
      <right style="thin"/>
      <top style="hair">
        <color indexed="10"/>
      </top>
      <bottom/>
    </border>
    <border>
      <left style="hair">
        <color indexed="10"/>
      </left>
      <right/>
      <top/>
      <bottom style="thin"/>
    </border>
    <border>
      <left/>
      <right style="hair">
        <color indexed="10"/>
      </right>
      <top style="hair">
        <color indexed="10"/>
      </top>
      <bottom/>
    </border>
    <border>
      <left style="hair">
        <color indexed="10"/>
      </left>
      <right style="thin"/>
      <top style="hair">
        <color indexed="10"/>
      </top>
      <bottom style="thin"/>
    </border>
    <border>
      <left style="hair">
        <color indexed="10"/>
      </left>
      <right/>
      <top/>
      <bottom/>
    </border>
    <border>
      <left/>
      <right style="hair">
        <color indexed="10"/>
      </right>
      <top/>
      <bottom/>
    </border>
    <border>
      <left style="hair">
        <color indexed="10"/>
      </left>
      <right style="thin"/>
      <top style="hair">
        <color indexed="10"/>
      </top>
      <bottom/>
    </border>
    <border>
      <left style="hair">
        <color indexed="10"/>
      </left>
      <right style="hair">
        <color indexed="10"/>
      </right>
      <top style="thin"/>
      <bottom style="hair">
        <color indexed="10"/>
      </bottom>
    </border>
    <border>
      <left style="hair">
        <color indexed="10"/>
      </left>
      <right style="thin"/>
      <top style="thin"/>
      <bottom style="hair">
        <color indexed="10"/>
      </bottom>
    </border>
    <border>
      <left style="thin"/>
      <right style="hair"/>
      <top style="thin"/>
      <bottom/>
    </border>
    <border>
      <left style="thin"/>
      <right/>
      <top/>
      <bottom style="hair"/>
    </border>
    <border>
      <left style="thin"/>
      <right style="thin"/>
      <top style="hair">
        <color indexed="10"/>
      </top>
      <bottom/>
    </border>
    <border>
      <left style="thin"/>
      <right style="hair">
        <color indexed="10"/>
      </right>
      <top style="hair">
        <color indexed="10"/>
      </top>
      <bottom style="hair">
        <color rgb="FFFF0000"/>
      </bottom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hair"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7" fillId="0" borderId="0">
      <alignment vertical="center"/>
      <protection/>
    </xf>
  </cellStyleXfs>
  <cellXfs count="108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1" fontId="5" fillId="0" borderId="0" xfId="49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41" fontId="0" fillId="0" borderId="0" xfId="49" applyFont="1" applyFill="1" applyAlignment="1">
      <alignment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41" fontId="0" fillId="0" borderId="0" xfId="49" applyFont="1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0" xfId="49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3" fontId="12" fillId="0" borderId="26" xfId="0" applyNumberFormat="1" applyFont="1" applyBorder="1" applyAlignment="1">
      <alignment horizontal="distributed" vertical="center"/>
    </xf>
    <xf numFmtId="3" fontId="12" fillId="0" borderId="27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0" fontId="0" fillId="0" borderId="0" xfId="0" applyNumberFormat="1" applyFill="1" applyAlignment="1">
      <alignment vertical="center"/>
    </xf>
    <xf numFmtId="3" fontId="12" fillId="0" borderId="20" xfId="0" applyNumberFormat="1" applyFont="1" applyFill="1" applyBorder="1" applyAlignment="1">
      <alignment horizontal="distributed" vertical="center"/>
    </xf>
    <xf numFmtId="41" fontId="0" fillId="0" borderId="20" xfId="49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distributed" vertical="center"/>
    </xf>
    <xf numFmtId="3" fontId="12" fillId="0" borderId="0" xfId="0" applyNumberFormat="1" applyFont="1" applyBorder="1" applyAlignment="1">
      <alignment vertical="center"/>
    </xf>
    <xf numFmtId="178" fontId="0" fillId="0" borderId="0" xfId="44" applyNumberFormat="1" applyFont="1" applyFill="1" applyAlignment="1">
      <alignment vertical="center"/>
    </xf>
    <xf numFmtId="3" fontId="12" fillId="0" borderId="30" xfId="0" applyNumberFormat="1" applyFont="1" applyBorder="1" applyAlignment="1">
      <alignment horizontal="distributed" vertical="center"/>
    </xf>
    <xf numFmtId="3" fontId="12" fillId="0" borderId="2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horizontal="distributed"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3" fontId="12" fillId="0" borderId="17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distributed" vertical="distributed"/>
    </xf>
    <xf numFmtId="0" fontId="6" fillId="0" borderId="13" xfId="0" applyFont="1" applyBorder="1" applyAlignment="1">
      <alignment horizontal="distributed" vertical="distributed"/>
    </xf>
    <xf numFmtId="178" fontId="18" fillId="0" borderId="43" xfId="0" applyNumberFormat="1" applyFont="1" applyFill="1" applyBorder="1" applyAlignment="1">
      <alignment horizontal="left" vertical="center" wrapText="1"/>
    </xf>
    <xf numFmtId="178" fontId="19" fillId="0" borderId="43" xfId="0" applyNumberFormat="1" applyFont="1" applyFill="1" applyBorder="1" applyAlignment="1" applyProtection="1">
      <alignment horizontal="left" vertical="center" wrapText="1"/>
      <protection locked="0"/>
    </xf>
    <xf numFmtId="178" fontId="19" fillId="0" borderId="43" xfId="0" applyNumberFormat="1" applyFont="1" applyFill="1" applyBorder="1" applyAlignment="1">
      <alignment horizontal="left" vertical="center" wrapText="1"/>
    </xf>
    <xf numFmtId="0" fontId="19" fillId="0" borderId="43" xfId="0" applyFont="1" applyBorder="1" applyAlignment="1">
      <alignment vertical="center" wrapText="1"/>
    </xf>
    <xf numFmtId="0" fontId="19" fillId="0" borderId="43" xfId="0" applyFont="1" applyBorder="1" applyAlignment="1">
      <alignment vertical="center"/>
    </xf>
    <xf numFmtId="181" fontId="12" fillId="0" borderId="27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3" fillId="0" borderId="35" xfId="0" applyNumberFormat="1" applyFont="1" applyBorder="1" applyAlignment="1">
      <alignment vertical="center"/>
    </xf>
    <xf numFmtId="181" fontId="12" fillId="0" borderId="36" xfId="0" applyNumberFormat="1" applyFont="1" applyFill="1" applyBorder="1" applyAlignment="1">
      <alignment vertical="center"/>
    </xf>
    <xf numFmtId="181" fontId="12" fillId="0" borderId="44" xfId="0" applyNumberFormat="1" applyFont="1" applyFill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0" xfId="49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1" fontId="6" fillId="0" borderId="20" xfId="0" applyNumberFormat="1" applyFon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49" applyNumberFormat="1" applyFont="1" applyFill="1" applyAlignment="1">
      <alignment/>
    </xf>
    <xf numFmtId="181" fontId="12" fillId="0" borderId="27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3" fillId="0" borderId="35" xfId="0" applyNumberFormat="1" applyFont="1" applyFill="1" applyBorder="1" applyAlignment="1">
      <alignment vertical="center"/>
    </xf>
    <xf numFmtId="181" fontId="12" fillId="33" borderId="44" xfId="0" applyNumberFormat="1" applyFont="1" applyFill="1" applyBorder="1" applyAlignment="1">
      <alignment vertical="center"/>
    </xf>
    <xf numFmtId="10" fontId="0" fillId="0" borderId="0" xfId="44" applyNumberFormat="1" applyFont="1" applyFill="1" applyAlignment="1">
      <alignment vertical="center"/>
    </xf>
    <xf numFmtId="183" fontId="6" fillId="0" borderId="0" xfId="44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3" fontId="12" fillId="0" borderId="47" xfId="0" applyNumberFormat="1" applyFont="1" applyFill="1" applyBorder="1" applyAlignment="1">
      <alignment horizontal="distributed" vertical="center"/>
    </xf>
    <xf numFmtId="181" fontId="12" fillId="0" borderId="48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181" fontId="12" fillId="0" borderId="49" xfId="0" applyNumberFormat="1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181" fontId="6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41" fontId="24" fillId="0" borderId="0" xfId="49" applyFont="1" applyFill="1" applyAlignment="1">
      <alignment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177" fontId="24" fillId="0" borderId="0" xfId="0" applyNumberFormat="1" applyFont="1" applyFill="1" applyAlignment="1">
      <alignment vertical="center"/>
    </xf>
    <xf numFmtId="41" fontId="24" fillId="0" borderId="0" xfId="49" applyFont="1" applyFill="1" applyAlignment="1">
      <alignment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1" xfId="0" applyFont="1" applyFill="1" applyBorder="1" applyAlignment="1">
      <alignment horizontal="centerContinuous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3" fontId="25" fillId="0" borderId="18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3" fontId="25" fillId="0" borderId="21" xfId="0" applyNumberFormat="1" applyFont="1" applyFill="1" applyBorder="1" applyAlignment="1">
      <alignment vertical="center"/>
    </xf>
    <xf numFmtId="176" fontId="25" fillId="0" borderId="22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vertical="center"/>
    </xf>
    <xf numFmtId="177" fontId="24" fillId="0" borderId="55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9" fontId="24" fillId="0" borderId="0" xfId="49" applyNumberFormat="1" applyFont="1" applyFill="1" applyBorder="1" applyAlignment="1">
      <alignment vertical="center"/>
    </xf>
    <xf numFmtId="3" fontId="29" fillId="0" borderId="28" xfId="0" applyNumberFormat="1" applyFont="1" applyFill="1" applyBorder="1" applyAlignment="1">
      <alignment vertical="center"/>
    </xf>
    <xf numFmtId="41" fontId="24" fillId="0" borderId="0" xfId="49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4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vertical="center"/>
    </xf>
    <xf numFmtId="3" fontId="25" fillId="0" borderId="27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81" fontId="25" fillId="0" borderId="27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181" fontId="25" fillId="0" borderId="44" xfId="0" applyNumberFormat="1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3" fontId="30" fillId="0" borderId="33" xfId="0" applyNumberFormat="1" applyFont="1" applyFill="1" applyBorder="1" applyAlignment="1">
      <alignment vertical="center"/>
    </xf>
    <xf numFmtId="181" fontId="30" fillId="0" borderId="35" xfId="0" applyNumberFormat="1" applyFont="1" applyFill="1" applyBorder="1" applyAlignment="1">
      <alignment vertical="center"/>
    </xf>
    <xf numFmtId="3" fontId="30" fillId="0" borderId="34" xfId="0" applyNumberFormat="1" applyFont="1" applyFill="1" applyBorder="1" applyAlignment="1">
      <alignment vertical="center"/>
    </xf>
    <xf numFmtId="3" fontId="25" fillId="34" borderId="26" xfId="0" applyNumberFormat="1" applyFont="1" applyFill="1" applyBorder="1" applyAlignment="1">
      <alignment vertical="center"/>
    </xf>
    <xf numFmtId="3" fontId="25" fillId="34" borderId="27" xfId="0" applyNumberFormat="1" applyFont="1" applyFill="1" applyBorder="1" applyAlignment="1">
      <alignment vertical="center"/>
    </xf>
    <xf numFmtId="3" fontId="25" fillId="34" borderId="30" xfId="0" applyNumberFormat="1" applyFont="1" applyFill="1" applyBorder="1" applyAlignment="1">
      <alignment vertical="center"/>
    </xf>
    <xf numFmtId="3" fontId="25" fillId="34" borderId="0" xfId="0" applyNumberFormat="1" applyFont="1" applyFill="1" applyBorder="1" applyAlignment="1">
      <alignment vertical="center"/>
    </xf>
    <xf numFmtId="3" fontId="25" fillId="33" borderId="21" xfId="0" applyNumberFormat="1" applyFont="1" applyFill="1" applyBorder="1" applyAlignment="1">
      <alignment vertical="center"/>
    </xf>
    <xf numFmtId="3" fontId="25" fillId="33" borderId="22" xfId="0" applyNumberFormat="1" applyFont="1" applyFill="1" applyBorder="1" applyAlignment="1">
      <alignment vertical="center"/>
    </xf>
    <xf numFmtId="9" fontId="24" fillId="0" borderId="0" xfId="44" applyFont="1" applyFill="1" applyAlignment="1">
      <alignment vertical="center"/>
    </xf>
    <xf numFmtId="3" fontId="30" fillId="0" borderId="3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181" fontId="30" fillId="0" borderId="44" xfId="0" applyNumberFormat="1" applyFont="1" applyFill="1" applyBorder="1" applyAlignment="1">
      <alignment vertical="center"/>
    </xf>
    <xf numFmtId="3" fontId="25" fillId="33" borderId="26" xfId="0" applyNumberFormat="1" applyFont="1" applyFill="1" applyBorder="1" applyAlignment="1">
      <alignment vertical="center"/>
    </xf>
    <xf numFmtId="3" fontId="25" fillId="33" borderId="27" xfId="0" applyNumberFormat="1" applyFont="1" applyFill="1" applyBorder="1" applyAlignment="1">
      <alignment vertical="center"/>
    </xf>
    <xf numFmtId="0" fontId="29" fillId="34" borderId="25" xfId="0" applyFont="1" applyFill="1" applyBorder="1" applyAlignment="1">
      <alignment vertical="center"/>
    </xf>
    <xf numFmtId="0" fontId="29" fillId="34" borderId="29" xfId="0" applyFont="1" applyFill="1" applyBorder="1" applyAlignment="1">
      <alignment vertical="center"/>
    </xf>
    <xf numFmtId="3" fontId="25" fillId="33" borderId="33" xfId="0" applyNumberFormat="1" applyFont="1" applyFill="1" applyBorder="1" applyAlignment="1">
      <alignment vertical="center"/>
    </xf>
    <xf numFmtId="181" fontId="25" fillId="33" borderId="34" xfId="0" applyNumberFormat="1" applyFont="1" applyFill="1" applyBorder="1" applyAlignment="1">
      <alignment vertical="center"/>
    </xf>
    <xf numFmtId="3" fontId="25" fillId="33" borderId="34" xfId="0" applyNumberFormat="1" applyFont="1" applyFill="1" applyBorder="1" applyAlignment="1">
      <alignment vertical="center"/>
    </xf>
    <xf numFmtId="179" fontId="24" fillId="0" borderId="0" xfId="44" applyNumberFormat="1" applyFont="1" applyFill="1" applyAlignment="1">
      <alignment vertical="center"/>
    </xf>
    <xf numFmtId="177" fontId="24" fillId="0" borderId="0" xfId="44" applyNumberFormat="1" applyFont="1" applyFill="1" applyAlignment="1">
      <alignment vertical="center"/>
    </xf>
    <xf numFmtId="179" fontId="24" fillId="0" borderId="0" xfId="0" applyNumberFormat="1" applyFont="1" applyFill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25" fillId="34" borderId="22" xfId="0" applyNumberFormat="1" applyFont="1" applyFill="1" applyBorder="1" applyAlignment="1">
      <alignment horizontal="right" vertical="center"/>
    </xf>
    <xf numFmtId="3" fontId="25" fillId="33" borderId="0" xfId="0" applyNumberFormat="1" applyFont="1" applyFill="1" applyBorder="1" applyAlignment="1">
      <alignment vertical="center"/>
    </xf>
    <xf numFmtId="3" fontId="25" fillId="0" borderId="37" xfId="0" applyNumberFormat="1" applyFont="1" applyFill="1" applyBorder="1" applyAlignment="1">
      <alignment vertical="center"/>
    </xf>
    <xf numFmtId="176" fontId="25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3" fontId="25" fillId="0" borderId="39" xfId="0" applyNumberFormat="1" applyFont="1" applyFill="1" applyBorder="1" applyAlignment="1">
      <alignment vertical="center"/>
    </xf>
    <xf numFmtId="3" fontId="30" fillId="0" borderId="33" xfId="0" applyNumberFormat="1" applyFont="1" applyBorder="1" applyAlignment="1">
      <alignment vertical="center"/>
    </xf>
    <xf numFmtId="3" fontId="30" fillId="0" borderId="34" xfId="0" applyNumberFormat="1" applyFont="1" applyBorder="1" applyAlignment="1">
      <alignment vertical="center"/>
    </xf>
    <xf numFmtId="3" fontId="25" fillId="33" borderId="30" xfId="0" applyNumberFormat="1" applyFont="1" applyFill="1" applyBorder="1" applyAlignment="1">
      <alignment vertical="center"/>
    </xf>
    <xf numFmtId="181" fontId="30" fillId="0" borderId="35" xfId="0" applyNumberFormat="1" applyFont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27" fillId="0" borderId="56" xfId="0" applyFont="1" applyFill="1" applyBorder="1" applyAlignment="1">
      <alignment horizontal="centerContinuous" vertical="center"/>
    </xf>
    <xf numFmtId="0" fontId="29" fillId="0" borderId="57" xfId="0" applyFont="1" applyFill="1" applyBorder="1" applyAlignment="1">
      <alignment horizontal="centerContinuous" vertical="center"/>
    </xf>
    <xf numFmtId="3" fontId="30" fillId="0" borderId="58" xfId="0" applyNumberFormat="1" applyFont="1" applyFill="1" applyBorder="1" applyAlignment="1">
      <alignment vertical="center"/>
    </xf>
    <xf numFmtId="176" fontId="25" fillId="0" borderId="59" xfId="0" applyNumberFormat="1" applyFont="1" applyFill="1" applyBorder="1" applyAlignment="1">
      <alignment vertical="center"/>
    </xf>
    <xf numFmtId="3" fontId="25" fillId="0" borderId="59" xfId="0" applyNumberFormat="1" applyFont="1" applyFill="1" applyBorder="1" applyAlignment="1">
      <alignment vertical="center"/>
    </xf>
    <xf numFmtId="181" fontId="30" fillId="0" borderId="60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176" fontId="24" fillId="0" borderId="0" xfId="49" applyNumberFormat="1" applyFont="1" applyFill="1" applyAlignment="1">
      <alignment/>
    </xf>
    <xf numFmtId="176" fontId="24" fillId="0" borderId="0" xfId="49" applyNumberFormat="1" applyFont="1" applyFill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81" fontId="25" fillId="0" borderId="44" xfId="0" applyNumberFormat="1" applyFont="1" applyBorder="1" applyAlignment="1">
      <alignment vertical="center"/>
    </xf>
    <xf numFmtId="181" fontId="25" fillId="33" borderId="27" xfId="0" applyNumberFormat="1" applyFont="1" applyFill="1" applyBorder="1" applyAlignment="1">
      <alignment vertical="center"/>
    </xf>
    <xf numFmtId="181" fontId="25" fillId="33" borderId="36" xfId="0" applyNumberFormat="1" applyFont="1" applyFill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horizontal="right" vertical="center"/>
    </xf>
    <xf numFmtId="3" fontId="32" fillId="0" borderId="33" xfId="0" applyNumberFormat="1" applyFont="1" applyFill="1" applyBorder="1" applyAlignment="1">
      <alignment vertical="center"/>
    </xf>
    <xf numFmtId="0" fontId="29" fillId="0" borderId="61" xfId="0" applyFont="1" applyFill="1" applyBorder="1" applyAlignment="1">
      <alignment vertical="center"/>
    </xf>
    <xf numFmtId="0" fontId="29" fillId="0" borderId="62" xfId="0" applyFont="1" applyFill="1" applyBorder="1" applyAlignment="1">
      <alignment vertical="center"/>
    </xf>
    <xf numFmtId="3" fontId="25" fillId="0" borderId="63" xfId="0" applyNumberFormat="1" applyFont="1" applyFill="1" applyBorder="1" applyAlignment="1">
      <alignment vertical="center"/>
    </xf>
    <xf numFmtId="3" fontId="25" fillId="0" borderId="64" xfId="0" applyNumberFormat="1" applyFont="1" applyFill="1" applyBorder="1" applyAlignment="1">
      <alignment vertical="center"/>
    </xf>
    <xf numFmtId="3" fontId="30" fillId="0" borderId="63" xfId="0" applyNumberFormat="1" applyFont="1" applyFill="1" applyBorder="1" applyAlignment="1">
      <alignment vertical="center"/>
    </xf>
    <xf numFmtId="3" fontId="30" fillId="0" borderId="63" xfId="0" applyNumberFormat="1" applyFont="1" applyBorder="1" applyAlignment="1">
      <alignment vertical="center"/>
    </xf>
    <xf numFmtId="181" fontId="30" fillId="0" borderId="6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4" fillId="0" borderId="66" xfId="0" applyFont="1" applyBorder="1" applyAlignment="1" applyProtection="1">
      <alignment vertical="center"/>
      <protection/>
    </xf>
    <xf numFmtId="177" fontId="84" fillId="35" borderId="67" xfId="0" applyNumberFormat="1" applyFont="1" applyFill="1" applyBorder="1" applyAlignment="1" applyProtection="1">
      <alignment vertical="center"/>
      <protection/>
    </xf>
    <xf numFmtId="0" fontId="84" fillId="0" borderId="68" xfId="0" applyFont="1" applyBorder="1" applyAlignment="1" applyProtection="1">
      <alignment vertical="center"/>
      <protection/>
    </xf>
    <xf numFmtId="177" fontId="84" fillId="35" borderId="69" xfId="0" applyNumberFormat="1" applyFont="1" applyFill="1" applyBorder="1" applyAlignment="1" applyProtection="1">
      <alignment vertical="center"/>
      <protection/>
    </xf>
    <xf numFmtId="0" fontId="84" fillId="33" borderId="68" xfId="0" applyFont="1" applyFill="1" applyBorder="1" applyAlignment="1" applyProtection="1">
      <alignment vertical="center"/>
      <protection/>
    </xf>
    <xf numFmtId="0" fontId="84" fillId="0" borderId="68" xfId="0" applyFont="1" applyBorder="1" applyAlignment="1" applyProtection="1">
      <alignment vertical="center"/>
      <protection/>
    </xf>
    <xf numFmtId="0" fontId="84" fillId="35" borderId="70" xfId="0" applyFont="1" applyFill="1" applyBorder="1" applyAlignment="1" applyProtection="1">
      <alignment horizontal="center" vertical="center"/>
      <protection/>
    </xf>
    <xf numFmtId="177" fontId="84" fillId="35" borderId="71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36" borderId="74" xfId="0" applyNumberFormat="1" applyFill="1" applyBorder="1" applyAlignment="1">
      <alignment horizontal="right" vertical="center"/>
    </xf>
    <xf numFmtId="180" fontId="35" fillId="0" borderId="75" xfId="50" applyNumberFormat="1" applyFont="1" applyFill="1" applyBorder="1" applyAlignment="1">
      <alignment horizontal="right" vertical="center"/>
    </xf>
    <xf numFmtId="41" fontId="0" fillId="0" borderId="76" xfId="0" applyNumberFormat="1" applyFont="1" applyFill="1" applyBorder="1" applyAlignment="1">
      <alignment vertical="center"/>
    </xf>
    <xf numFmtId="0" fontId="36" fillId="36" borderId="56" xfId="0" applyFont="1" applyFill="1" applyBorder="1" applyAlignment="1">
      <alignment horizontal="distributed" vertical="center"/>
    </xf>
    <xf numFmtId="0" fontId="36" fillId="36" borderId="57" xfId="0" applyFont="1" applyFill="1" applyBorder="1" applyAlignment="1">
      <alignment horizontal="distributed" vertical="center"/>
    </xf>
    <xf numFmtId="177" fontId="36" fillId="36" borderId="57" xfId="0" applyNumberFormat="1" applyFont="1" applyFill="1" applyBorder="1" applyAlignment="1">
      <alignment horizontal="right" vertical="center"/>
    </xf>
    <xf numFmtId="177" fontId="36" fillId="36" borderId="58" xfId="0" applyNumberFormat="1" applyFont="1" applyFill="1" applyBorder="1" applyAlignment="1">
      <alignment horizontal="right" vertical="center"/>
    </xf>
    <xf numFmtId="177" fontId="36" fillId="36" borderId="77" xfId="0" applyNumberFormat="1" applyFont="1" applyFill="1" applyBorder="1" applyAlignment="1">
      <alignment horizontal="right" vertical="center"/>
    </xf>
    <xf numFmtId="180" fontId="36" fillId="36" borderId="78" xfId="0" applyNumberFormat="1" applyFont="1" applyFill="1" applyBorder="1" applyAlignment="1">
      <alignment horizontal="right" vertical="center"/>
    </xf>
    <xf numFmtId="0" fontId="22" fillId="36" borderId="79" xfId="0" applyFont="1" applyFill="1" applyBorder="1" applyAlignment="1">
      <alignment vertical="center"/>
    </xf>
    <xf numFmtId="177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28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35" fillId="36" borderId="80" xfId="50" applyNumberFormat="1" applyFont="1" applyFill="1" applyBorder="1" applyAlignment="1">
      <alignment horizontal="right" vertical="center"/>
    </xf>
    <xf numFmtId="180" fontId="35" fillId="0" borderId="81" xfId="50" applyNumberFormat="1" applyFont="1" applyFill="1" applyBorder="1" applyAlignment="1">
      <alignment horizontal="right" vertical="center"/>
    </xf>
    <xf numFmtId="0" fontId="37" fillId="0" borderId="82" xfId="0" applyFon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177" fontId="35" fillId="0" borderId="20" xfId="50" applyNumberFormat="1" applyFont="1" applyFill="1" applyBorder="1" applyAlignment="1">
      <alignment horizontal="right" vertical="center"/>
    </xf>
    <xf numFmtId="177" fontId="35" fillId="0" borderId="21" xfId="50" applyNumberFormat="1" applyFont="1" applyFill="1" applyBorder="1" applyAlignment="1">
      <alignment horizontal="right" vertical="center"/>
    </xf>
    <xf numFmtId="177" fontId="0" fillId="36" borderId="83" xfId="50" applyNumberFormat="1" applyFont="1" applyFill="1" applyBorder="1" applyAlignment="1">
      <alignment horizontal="right" vertical="center"/>
    </xf>
    <xf numFmtId="180" fontId="35" fillId="0" borderId="84" xfId="50" applyNumberFormat="1" applyFont="1" applyFill="1" applyBorder="1" applyAlignment="1">
      <alignment horizontal="right" vertical="center"/>
    </xf>
    <xf numFmtId="0" fontId="37" fillId="0" borderId="43" xfId="0" applyFon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177" fontId="22" fillId="0" borderId="43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80" fontId="35" fillId="0" borderId="85" xfId="50" applyNumberFormat="1" applyFont="1" applyFill="1" applyBorder="1" applyAlignment="1">
      <alignment horizontal="right" vertical="center"/>
    </xf>
    <xf numFmtId="177" fontId="38" fillId="36" borderId="57" xfId="50" applyNumberFormat="1" applyFont="1" applyFill="1" applyBorder="1" applyAlignment="1">
      <alignment horizontal="right" vertical="center"/>
    </xf>
    <xf numFmtId="177" fontId="38" fillId="36" borderId="58" xfId="50" applyNumberFormat="1" applyFont="1" applyFill="1" applyBorder="1" applyAlignment="1">
      <alignment horizontal="right" vertical="center"/>
    </xf>
    <xf numFmtId="177" fontId="38" fillId="36" borderId="77" xfId="50" applyNumberFormat="1" applyFont="1" applyFill="1" applyBorder="1" applyAlignment="1">
      <alignment horizontal="right" vertical="center"/>
    </xf>
    <xf numFmtId="180" fontId="38" fillId="36" borderId="78" xfId="50" applyNumberFormat="1" applyFont="1" applyFill="1" applyBorder="1" applyAlignment="1">
      <alignment horizontal="right" vertical="center"/>
    </xf>
    <xf numFmtId="177" fontId="35" fillId="0" borderId="32" xfId="50" applyNumberFormat="1" applyFont="1" applyFill="1" applyBorder="1" applyAlignment="1">
      <alignment horizontal="right" vertical="center"/>
    </xf>
    <xf numFmtId="177" fontId="35" fillId="0" borderId="33" xfId="50" applyNumberFormat="1" applyFont="1" applyFill="1" applyBorder="1" applyAlignment="1">
      <alignment horizontal="right" vertical="center"/>
    </xf>
    <xf numFmtId="177" fontId="35" fillId="0" borderId="81" xfId="50" applyNumberFormat="1" applyFont="1" applyFill="1" applyBorder="1" applyAlignment="1">
      <alignment horizontal="right" vertical="center"/>
    </xf>
    <xf numFmtId="0" fontId="22" fillId="0" borderId="82" xfId="0" applyFont="1" applyFill="1" applyBorder="1" applyAlignment="1">
      <alignment vertical="center"/>
    </xf>
    <xf numFmtId="177" fontId="35" fillId="0" borderId="84" xfId="50" applyNumberFormat="1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right" vertical="center"/>
    </xf>
    <xf numFmtId="41" fontId="22" fillId="0" borderId="43" xfId="0" applyNumberFormat="1" applyFont="1" applyFill="1" applyBorder="1" applyAlignment="1">
      <alignment vertical="center"/>
    </xf>
    <xf numFmtId="177" fontId="0" fillId="0" borderId="86" xfId="50" applyNumberFormat="1" applyFill="1" applyBorder="1" applyAlignment="1">
      <alignment horizontal="right" vertical="center"/>
    </xf>
    <xf numFmtId="41" fontId="37" fillId="0" borderId="87" xfId="5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distributed" vertical="center"/>
    </xf>
    <xf numFmtId="177" fontId="35" fillId="36" borderId="88" xfId="50" applyNumberFormat="1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vertical="center" wrapText="1"/>
    </xf>
    <xf numFmtId="177" fontId="35" fillId="0" borderId="89" xfId="50" applyNumberFormat="1" applyFont="1" applyFill="1" applyBorder="1" applyAlignment="1">
      <alignment horizontal="right" vertical="center"/>
    </xf>
    <xf numFmtId="0" fontId="22" fillId="0" borderId="90" xfId="0" applyFont="1" applyFill="1" applyBorder="1" applyAlignment="1">
      <alignment vertical="center"/>
    </xf>
    <xf numFmtId="0" fontId="0" fillId="0" borderId="25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/>
    </xf>
    <xf numFmtId="177" fontId="0" fillId="0" borderId="25" xfId="0" applyNumberFormat="1" applyFill="1" applyBorder="1" applyAlignment="1">
      <alignment horizontal="right" vertical="center" wrapText="1"/>
    </xf>
    <xf numFmtId="177" fontId="35" fillId="0" borderId="25" xfId="50" applyNumberFormat="1" applyFon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80" fontId="35" fillId="0" borderId="89" xfId="50" applyNumberFormat="1" applyFont="1" applyFill="1" applyBorder="1" applyAlignment="1">
      <alignment horizontal="right" vertical="center"/>
    </xf>
    <xf numFmtId="0" fontId="22" fillId="0" borderId="90" xfId="0" applyFont="1" applyFill="1" applyBorder="1" applyAlignment="1">
      <alignment vertical="center" wrapText="1"/>
    </xf>
    <xf numFmtId="177" fontId="38" fillId="36" borderId="78" xfId="50" applyNumberFormat="1" applyFont="1" applyFill="1" applyBorder="1" applyAlignment="1">
      <alignment horizontal="right" vertical="center"/>
    </xf>
    <xf numFmtId="177" fontId="0" fillId="36" borderId="80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distributed" vertical="center" wrapText="1"/>
    </xf>
    <xf numFmtId="177" fontId="0" fillId="0" borderId="20" xfId="0" applyNumberFormat="1" applyFill="1" applyBorder="1" applyAlignment="1">
      <alignment horizontal="right" vertical="center" wrapText="1"/>
    </xf>
    <xf numFmtId="0" fontId="36" fillId="36" borderId="56" xfId="0" applyFont="1" applyFill="1" applyBorder="1" applyAlignment="1">
      <alignment horizontal="distributed" vertical="center" wrapText="1"/>
    </xf>
    <xf numFmtId="0" fontId="0" fillId="0" borderId="91" xfId="0" applyFill="1" applyBorder="1" applyAlignment="1">
      <alignment horizontal="distributed" vertical="center" wrapText="1"/>
    </xf>
    <xf numFmtId="0" fontId="0" fillId="0" borderId="62" xfId="0" applyFill="1" applyBorder="1" applyAlignment="1">
      <alignment horizontal="distributed" vertical="center"/>
    </xf>
    <xf numFmtId="177" fontId="35" fillId="0" borderId="29" xfId="50" applyNumberFormat="1" applyFont="1" applyFill="1" applyBorder="1" applyAlignment="1">
      <alignment horizontal="right" vertical="center"/>
    </xf>
    <xf numFmtId="177" fontId="35" fillId="0" borderId="75" xfId="50" applyNumberFormat="1" applyFont="1" applyFill="1" applyBorder="1" applyAlignment="1">
      <alignment horizontal="right" vertical="center"/>
    </xf>
    <xf numFmtId="0" fontId="22" fillId="0" borderId="76" xfId="0" applyFont="1" applyFill="1" applyBorder="1" applyAlignment="1">
      <alignment vertical="center"/>
    </xf>
    <xf numFmtId="0" fontId="37" fillId="36" borderId="79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35" fillId="0" borderId="0" xfId="5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37" fillId="0" borderId="0" xfId="5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35" fillId="0" borderId="0" xfId="5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5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61" xfId="0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177" fontId="39" fillId="0" borderId="62" xfId="50" applyNumberFormat="1" applyFont="1" applyFill="1" applyBorder="1" applyAlignment="1">
      <alignment horizontal="right" vertical="center"/>
    </xf>
    <xf numFmtId="177" fontId="39" fillId="0" borderId="63" xfId="50" applyNumberFormat="1" applyFont="1" applyFill="1" applyBorder="1" applyAlignment="1">
      <alignment horizontal="right" vertical="center"/>
    </xf>
    <xf numFmtId="177" fontId="39" fillId="36" borderId="92" xfId="50" applyNumberFormat="1" applyFont="1" applyFill="1" applyBorder="1" applyAlignment="1">
      <alignment horizontal="right" vertical="center"/>
    </xf>
    <xf numFmtId="177" fontId="40" fillId="0" borderId="93" xfId="50" applyNumberFormat="1" applyFont="1" applyFill="1" applyBorder="1" applyAlignment="1">
      <alignment horizontal="right" vertical="center"/>
    </xf>
    <xf numFmtId="41" fontId="0" fillId="0" borderId="65" xfId="50" applyFont="1" applyFill="1" applyBorder="1" applyAlignment="1">
      <alignment horizontal="left" vertical="center"/>
    </xf>
    <xf numFmtId="0" fontId="36" fillId="36" borderId="94" xfId="0" applyFont="1" applyFill="1" applyBorder="1" applyAlignment="1">
      <alignment horizontal="distributed" vertical="center"/>
    </xf>
    <xf numFmtId="0" fontId="36" fillId="36" borderId="95" xfId="0" applyFont="1" applyFill="1" applyBorder="1" applyAlignment="1">
      <alignment horizontal="distributed" vertical="center"/>
    </xf>
    <xf numFmtId="0" fontId="36" fillId="36" borderId="96" xfId="0" applyFont="1" applyFill="1" applyBorder="1" applyAlignment="1">
      <alignment horizontal="distributed" vertical="center"/>
    </xf>
    <xf numFmtId="177" fontId="36" fillId="36" borderId="95" xfId="50" applyNumberFormat="1" applyFont="1" applyFill="1" applyBorder="1" applyAlignment="1">
      <alignment horizontal="right" vertical="center"/>
    </xf>
    <xf numFmtId="177" fontId="36" fillId="36" borderId="96" xfId="50" applyNumberFormat="1" applyFont="1" applyFill="1" applyBorder="1" applyAlignment="1">
      <alignment horizontal="right" vertical="center"/>
    </xf>
    <xf numFmtId="177" fontId="36" fillId="36" borderId="77" xfId="50" applyNumberFormat="1" applyFont="1" applyFill="1" applyBorder="1" applyAlignment="1">
      <alignment horizontal="right" vertical="center"/>
    </xf>
    <xf numFmtId="177" fontId="36" fillId="36" borderId="97" xfId="50" applyNumberFormat="1" applyFont="1" applyFill="1" applyBorder="1" applyAlignment="1">
      <alignment horizontal="right" vertical="center"/>
    </xf>
    <xf numFmtId="41" fontId="41" fillId="36" borderId="60" xfId="50" applyFont="1" applyFill="1" applyBorder="1" applyAlignment="1">
      <alignment horizontal="left" vertical="center"/>
    </xf>
    <xf numFmtId="0" fontId="0" fillId="0" borderId="98" xfId="0" applyFill="1" applyBorder="1" applyAlignment="1">
      <alignment horizontal="distributed" vertical="center"/>
    </xf>
    <xf numFmtId="0" fontId="0" fillId="0" borderId="99" xfId="0" applyFill="1" applyBorder="1" applyAlignment="1">
      <alignment horizontal="distributed" vertical="center"/>
    </xf>
    <xf numFmtId="0" fontId="0" fillId="0" borderId="100" xfId="0" applyFill="1" applyBorder="1" applyAlignment="1">
      <alignment horizontal="distributed" vertical="center"/>
    </xf>
    <xf numFmtId="177" fontId="0" fillId="0" borderId="101" xfId="50" applyNumberFormat="1" applyFill="1" applyBorder="1" applyAlignment="1">
      <alignment horizontal="right" vertical="center"/>
    </xf>
    <xf numFmtId="177" fontId="0" fillId="0" borderId="100" xfId="50" applyNumberFormat="1" applyFill="1" applyBorder="1" applyAlignment="1">
      <alignment horizontal="right" vertical="center"/>
    </xf>
    <xf numFmtId="177" fontId="0" fillId="36" borderId="102" xfId="50" applyNumberFormat="1" applyFill="1" applyBorder="1" applyAlignment="1">
      <alignment horizontal="right" vertical="center"/>
    </xf>
    <xf numFmtId="177" fontId="0" fillId="0" borderId="93" xfId="50" applyNumberFormat="1" applyFill="1" applyBorder="1" applyAlignment="1">
      <alignment horizontal="right" vertical="center"/>
    </xf>
    <xf numFmtId="41" fontId="37" fillId="0" borderId="103" xfId="50" applyFont="1" applyFill="1" applyBorder="1" applyAlignment="1">
      <alignment horizontal="left" vertical="center"/>
    </xf>
    <xf numFmtId="0" fontId="0" fillId="0" borderId="104" xfId="0" applyFont="1" applyFill="1" applyBorder="1" applyAlignment="1">
      <alignment horizontal="distributed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4" xfId="50" applyNumberFormat="1" applyFill="1" applyBorder="1" applyAlignment="1">
      <alignment horizontal="right" vertical="center"/>
    </xf>
    <xf numFmtId="41" fontId="37" fillId="0" borderId="106" xfId="50" applyFont="1" applyFill="1" applyBorder="1" applyAlignment="1">
      <alignment horizontal="left" vertical="center"/>
    </xf>
    <xf numFmtId="176" fontId="36" fillId="0" borderId="0" xfId="50" applyNumberFormat="1" applyFont="1" applyFill="1" applyAlignment="1">
      <alignment vertical="center"/>
    </xf>
    <xf numFmtId="180" fontId="0" fillId="0" borderId="93" xfId="50" applyNumberFormat="1" applyFill="1" applyBorder="1" applyAlignment="1">
      <alignment horizontal="right" vertical="center"/>
    </xf>
    <xf numFmtId="41" fontId="0" fillId="0" borderId="106" xfId="50" applyFont="1" applyFill="1" applyBorder="1" applyAlignment="1">
      <alignment horizontal="left" vertical="center"/>
    </xf>
    <xf numFmtId="41" fontId="0" fillId="0" borderId="106" xfId="50" applyFill="1" applyBorder="1" applyAlignment="1">
      <alignment horizontal="left" vertical="center"/>
    </xf>
    <xf numFmtId="176" fontId="36" fillId="0" borderId="0" xfId="50" applyNumberFormat="1" applyFont="1" applyFill="1" applyAlignment="1">
      <alignment vertical="center" wrapText="1"/>
    </xf>
    <xf numFmtId="0" fontId="0" fillId="0" borderId="104" xfId="0" applyFill="1" applyBorder="1" applyAlignment="1">
      <alignment horizontal="distributed" vertical="center"/>
    </xf>
    <xf numFmtId="177" fontId="0" fillId="0" borderId="105" xfId="50" applyNumberFormat="1" applyFill="1" applyBorder="1" applyAlignment="1">
      <alignment horizontal="right" vertical="center"/>
    </xf>
    <xf numFmtId="41" fontId="3" fillId="0" borderId="106" xfId="50" applyFont="1" applyFill="1" applyBorder="1" applyAlignment="1">
      <alignment horizontal="left" vertical="center"/>
    </xf>
    <xf numFmtId="0" fontId="0" fillId="0" borderId="107" xfId="0" applyFill="1" applyBorder="1" applyAlignment="1">
      <alignment horizontal="distributed" vertical="center"/>
    </xf>
    <xf numFmtId="0" fontId="0" fillId="0" borderId="108" xfId="0" applyFill="1" applyBorder="1" applyAlignment="1">
      <alignment horizontal="distributed" vertical="center"/>
    </xf>
    <xf numFmtId="0" fontId="0" fillId="0" borderId="109" xfId="0" applyFill="1" applyBorder="1" applyAlignment="1">
      <alignment horizontal="distributed" vertical="center"/>
    </xf>
    <xf numFmtId="0" fontId="0" fillId="0" borderId="110" xfId="0" applyFill="1" applyBorder="1" applyAlignment="1">
      <alignment horizontal="distributed" vertical="center"/>
    </xf>
    <xf numFmtId="180" fontId="0" fillId="0" borderId="111" xfId="50" applyNumberFormat="1" applyFill="1" applyBorder="1" applyAlignment="1">
      <alignment horizontal="right" vertical="center"/>
    </xf>
    <xf numFmtId="41" fontId="37" fillId="0" borderId="112" xfId="50" applyFont="1" applyFill="1" applyBorder="1" applyAlignment="1">
      <alignment horizontal="left" vertical="center"/>
    </xf>
    <xf numFmtId="180" fontId="36" fillId="36" borderId="97" xfId="50" applyNumberFormat="1" applyFont="1" applyFill="1" applyBorder="1" applyAlignment="1">
      <alignment horizontal="right" vertical="center"/>
    </xf>
    <xf numFmtId="177" fontId="0" fillId="0" borderId="101" xfId="50" applyNumberFormat="1" applyFont="1" applyFill="1" applyBorder="1" applyAlignment="1">
      <alignment horizontal="right" vertical="center"/>
    </xf>
    <xf numFmtId="177" fontId="0" fillId="36" borderId="102" xfId="50" applyNumberFormat="1" applyFont="1" applyFill="1" applyBorder="1" applyAlignment="1">
      <alignment horizontal="right" vertical="center"/>
    </xf>
    <xf numFmtId="41" fontId="37" fillId="0" borderId="103" xfId="50" applyFont="1" applyFill="1" applyBorder="1" applyAlignment="1">
      <alignment horizontal="left" vertical="center" wrapText="1"/>
    </xf>
    <xf numFmtId="176" fontId="36" fillId="0" borderId="55" xfId="50" applyNumberFormat="1" applyFont="1" applyFill="1" applyBorder="1" applyAlignment="1">
      <alignment vertical="center" wrapText="1"/>
    </xf>
    <xf numFmtId="176" fontId="36" fillId="0" borderId="0" xfId="0" applyNumberFormat="1" applyFont="1" applyFill="1" applyAlignment="1">
      <alignment horizontal="left" vertical="center" wrapText="1"/>
    </xf>
    <xf numFmtId="41" fontId="37" fillId="0" borderId="106" xfId="50" applyFont="1" applyFill="1" applyBorder="1" applyAlignment="1">
      <alignment horizontal="left" vertical="center" wrapText="1"/>
    </xf>
    <xf numFmtId="180" fontId="0" fillId="0" borderId="113" xfId="50" applyNumberFormat="1" applyFill="1" applyBorder="1" applyAlignment="1">
      <alignment horizontal="right" vertical="center"/>
    </xf>
    <xf numFmtId="177" fontId="0" fillId="36" borderId="83" xfId="50" applyNumberFormat="1" applyFill="1" applyBorder="1" applyAlignment="1">
      <alignment horizontal="right" vertical="center"/>
    </xf>
    <xf numFmtId="0" fontId="0" fillId="0" borderId="114" xfId="0" applyFill="1" applyBorder="1" applyAlignment="1">
      <alignment horizontal="distributed" vertical="center"/>
    </xf>
    <xf numFmtId="180" fontId="0" fillId="0" borderId="115" xfId="50" applyNumberFormat="1" applyFill="1" applyBorder="1" applyAlignment="1">
      <alignment horizontal="right" vertical="center"/>
    </xf>
    <xf numFmtId="177" fontId="0" fillId="0" borderId="116" xfId="50" applyNumberFormat="1" applyFill="1" applyBorder="1" applyAlignment="1">
      <alignment horizontal="right" vertical="center"/>
    </xf>
    <xf numFmtId="177" fontId="0" fillId="0" borderId="107" xfId="50" applyNumberFormat="1" applyFont="1" applyFill="1" applyBorder="1" applyAlignment="1">
      <alignment horizontal="right" vertical="center"/>
    </xf>
    <xf numFmtId="177" fontId="0" fillId="36" borderId="117" xfId="50" applyNumberFormat="1" applyFont="1" applyFill="1" applyBorder="1" applyAlignment="1">
      <alignment horizontal="right" vertical="center"/>
    </xf>
    <xf numFmtId="41" fontId="42" fillId="0" borderId="106" xfId="50" applyFont="1" applyFill="1" applyBorder="1" applyAlignment="1">
      <alignment horizontal="left" vertical="center" wrapText="1"/>
    </xf>
    <xf numFmtId="0" fontId="0" fillId="0" borderId="118" xfId="0" applyFill="1" applyBorder="1" applyAlignment="1">
      <alignment horizontal="distributed" vertical="center"/>
    </xf>
    <xf numFmtId="41" fontId="37" fillId="0" borderId="119" xfId="50" applyFont="1" applyFill="1" applyBorder="1" applyAlignment="1">
      <alignment horizontal="left" vertical="center"/>
    </xf>
    <xf numFmtId="0" fontId="0" fillId="0" borderId="120" xfId="0" applyFill="1" applyBorder="1" applyAlignment="1">
      <alignment horizontal="distributed" vertical="center"/>
    </xf>
    <xf numFmtId="177" fontId="0" fillId="0" borderId="109" xfId="50" applyNumberFormat="1" applyFill="1" applyBorder="1" applyAlignment="1">
      <alignment horizontal="right" vertical="center"/>
    </xf>
    <xf numFmtId="41" fontId="37" fillId="0" borderId="65" xfId="50" applyFont="1" applyFill="1" applyBorder="1" applyAlignment="1">
      <alignment horizontal="left" vertical="center"/>
    </xf>
    <xf numFmtId="0" fontId="0" fillId="0" borderId="101" xfId="0" applyFill="1" applyBorder="1" applyAlignment="1">
      <alignment horizontal="distributed" vertical="center"/>
    </xf>
    <xf numFmtId="0" fontId="0" fillId="0" borderId="99" xfId="0" applyFill="1" applyBorder="1" applyAlignment="1">
      <alignment horizontal="distributed" vertical="center" wrapText="1"/>
    </xf>
    <xf numFmtId="0" fontId="36" fillId="36" borderId="94" xfId="0" applyFont="1" applyFill="1" applyBorder="1" applyAlignment="1">
      <alignment horizontal="distributed" vertical="center" wrapText="1"/>
    </xf>
    <xf numFmtId="0" fontId="0" fillId="0" borderId="98" xfId="0" applyFill="1" applyBorder="1" applyAlignment="1">
      <alignment horizontal="distributed" vertical="center" wrapText="1"/>
    </xf>
    <xf numFmtId="180" fontId="0" fillId="0" borderId="121" xfId="50" applyNumberFormat="1" applyFill="1" applyBorder="1" applyAlignment="1">
      <alignment horizontal="right" vertical="center"/>
    </xf>
    <xf numFmtId="41" fontId="0" fillId="0" borderId="119" xfId="50" applyFont="1" applyFill="1" applyBorder="1" applyAlignment="1">
      <alignment horizontal="left" vertical="center" wrapText="1"/>
    </xf>
    <xf numFmtId="41" fontId="37" fillId="0" borderId="43" xfId="50" applyFont="1" applyFill="1" applyBorder="1" applyAlignment="1" applyProtection="1">
      <alignment horizontal="left" vertical="center" wrapText="1"/>
      <protection locked="0"/>
    </xf>
    <xf numFmtId="41" fontId="37" fillId="0" borderId="122" xfId="50" applyFont="1" applyFill="1" applyBorder="1" applyAlignment="1">
      <alignment horizontal="left" vertical="center"/>
    </xf>
    <xf numFmtId="180" fontId="0" fillId="0" borderId="93" xfId="50" applyNumberFormat="1" applyFont="1" applyFill="1" applyBorder="1" applyAlignment="1">
      <alignment horizontal="right" vertical="center"/>
    </xf>
    <xf numFmtId="0" fontId="0" fillId="0" borderId="100" xfId="0" applyFont="1" applyFill="1" applyBorder="1" applyAlignment="1">
      <alignment horizontal="distributed" vertical="center"/>
    </xf>
    <xf numFmtId="177" fontId="0" fillId="0" borderId="122" xfId="50" applyNumberFormat="1" applyFill="1" applyBorder="1" applyAlignment="1">
      <alignment horizontal="right" vertical="center"/>
    </xf>
    <xf numFmtId="41" fontId="37" fillId="0" borderId="112" xfId="50" applyFont="1" applyFill="1" applyBorder="1" applyAlignment="1">
      <alignment horizontal="left" vertical="center" wrapText="1"/>
    </xf>
    <xf numFmtId="176" fontId="0" fillId="0" borderId="0" xfId="50" applyNumberFormat="1" applyFont="1" applyFill="1" applyAlignment="1">
      <alignment vertical="center" wrapText="1"/>
    </xf>
    <xf numFmtId="41" fontId="37" fillId="0" borderId="35" xfId="50" applyFont="1" applyFill="1" applyBorder="1" applyAlignment="1">
      <alignment horizontal="left" vertical="center" wrapText="1"/>
    </xf>
    <xf numFmtId="177" fontId="0" fillId="0" borderId="101" xfId="5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horizontal="distributed" vertical="center"/>
    </xf>
    <xf numFmtId="0" fontId="0" fillId="0" borderId="123" xfId="0" applyFill="1" applyBorder="1" applyAlignment="1">
      <alignment horizontal="distributed" vertical="center"/>
    </xf>
    <xf numFmtId="177" fontId="0" fillId="0" borderId="99" xfId="50" applyNumberFormat="1" applyFill="1" applyBorder="1" applyAlignment="1">
      <alignment horizontal="right" vertical="center"/>
    </xf>
    <xf numFmtId="177" fontId="0" fillId="36" borderId="74" xfId="50" applyNumberFormat="1" applyFill="1" applyBorder="1" applyAlignment="1">
      <alignment horizontal="right" vertical="center"/>
    </xf>
    <xf numFmtId="180" fontId="0" fillId="0" borderId="124" xfId="5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distributed" vertical="center"/>
    </xf>
    <xf numFmtId="177" fontId="0" fillId="0" borderId="13" xfId="50" applyNumberFormat="1" applyFill="1" applyBorder="1" applyAlignment="1">
      <alignment horizontal="right" vertical="center"/>
    </xf>
    <xf numFmtId="180" fontId="0" fillId="0" borderId="85" xfId="5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distributed" vertical="center"/>
    </xf>
    <xf numFmtId="177" fontId="0" fillId="0" borderId="25" xfId="50" applyNumberFormat="1" applyFill="1" applyBorder="1" applyAlignment="1">
      <alignment horizontal="right" vertical="center"/>
    </xf>
    <xf numFmtId="180" fontId="0" fillId="0" borderId="89" xfId="50" applyNumberFormat="1" applyFill="1" applyBorder="1" applyAlignment="1">
      <alignment horizontal="right" vertical="center"/>
    </xf>
    <xf numFmtId="41" fontId="0" fillId="0" borderId="101" xfId="50" applyFill="1" applyBorder="1" applyAlignment="1">
      <alignment horizontal="distributed" vertical="center"/>
    </xf>
    <xf numFmtId="41" fontId="0" fillId="0" borderId="101" xfId="50" applyFill="1" applyBorder="1" applyAlignment="1">
      <alignment vertical="center"/>
    </xf>
    <xf numFmtId="41" fontId="0" fillId="0" borderId="105" xfId="50" applyFill="1" applyBorder="1" applyAlignment="1">
      <alignment horizontal="distributed" vertical="center"/>
    </xf>
    <xf numFmtId="41" fontId="0" fillId="0" borderId="105" xfId="50" applyFill="1" applyBorder="1" applyAlignment="1">
      <alignment vertical="center"/>
    </xf>
    <xf numFmtId="41" fontId="0" fillId="0" borderId="116" xfId="50" applyFill="1" applyBorder="1" applyAlignment="1">
      <alignment horizontal="distributed" vertical="center"/>
    </xf>
    <xf numFmtId="41" fontId="0" fillId="0" borderId="116" xfId="5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1" fontId="0" fillId="0" borderId="0" xfId="5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1" fontId="12" fillId="0" borderId="54" xfId="0" applyNumberFormat="1" applyFont="1" applyFill="1" applyBorder="1" applyAlignment="1">
      <alignment vertical="center"/>
    </xf>
    <xf numFmtId="181" fontId="12" fillId="0" borderId="35" xfId="0" applyNumberFormat="1" applyFont="1" applyFill="1" applyBorder="1" applyAlignment="1">
      <alignment vertical="center"/>
    </xf>
    <xf numFmtId="181" fontId="12" fillId="0" borderId="23" xfId="0" applyNumberFormat="1" applyFont="1" applyFill="1" applyBorder="1" applyAlignment="1">
      <alignment vertical="center"/>
    </xf>
    <xf numFmtId="181" fontId="25" fillId="0" borderId="23" xfId="0" applyNumberFormat="1" applyFont="1" applyFill="1" applyBorder="1" applyAlignment="1">
      <alignment vertical="center"/>
    </xf>
    <xf numFmtId="181" fontId="25" fillId="0" borderId="22" xfId="0" applyNumberFormat="1" applyFont="1" applyFill="1" applyBorder="1" applyAlignment="1">
      <alignment vertical="center"/>
    </xf>
    <xf numFmtId="181" fontId="25" fillId="0" borderId="34" xfId="0" applyNumberFormat="1" applyFont="1" applyFill="1" applyBorder="1" applyAlignment="1">
      <alignment vertical="center"/>
    </xf>
    <xf numFmtId="181" fontId="30" fillId="0" borderId="34" xfId="0" applyNumberFormat="1" applyFont="1" applyFill="1" applyBorder="1" applyAlignment="1">
      <alignment vertical="center"/>
    </xf>
    <xf numFmtId="181" fontId="25" fillId="0" borderId="64" xfId="0" applyNumberFormat="1" applyFont="1" applyFill="1" applyBorder="1" applyAlignment="1">
      <alignment vertical="center"/>
    </xf>
    <xf numFmtId="181" fontId="25" fillId="34" borderId="0" xfId="0" applyNumberFormat="1" applyFont="1" applyFill="1" applyBorder="1" applyAlignment="1">
      <alignment vertical="center"/>
    </xf>
    <xf numFmtId="181" fontId="25" fillId="33" borderId="22" xfId="0" applyNumberFormat="1" applyFont="1" applyFill="1" applyBorder="1" applyAlignment="1">
      <alignment vertical="center"/>
    </xf>
    <xf numFmtId="181" fontId="30" fillId="0" borderId="0" xfId="0" applyNumberFormat="1" applyFont="1" applyFill="1" applyBorder="1" applyAlignment="1">
      <alignment vertical="center"/>
    </xf>
    <xf numFmtId="181" fontId="25" fillId="0" borderId="27" xfId="0" applyNumberFormat="1" applyFont="1" applyBorder="1" applyAlignment="1">
      <alignment vertical="center"/>
    </xf>
    <xf numFmtId="181" fontId="25" fillId="34" borderId="22" xfId="0" applyNumberFormat="1" applyFont="1" applyFill="1" applyBorder="1" applyAlignment="1" quotePrefix="1">
      <alignment horizontal="right" vertical="center"/>
    </xf>
    <xf numFmtId="181" fontId="25" fillId="0" borderId="22" xfId="0" applyNumberFormat="1" applyFont="1" applyBorder="1" applyAlignment="1" quotePrefix="1">
      <alignment horizontal="right" vertical="center"/>
    </xf>
    <xf numFmtId="181" fontId="25" fillId="33" borderId="0" xfId="0" applyNumberFormat="1" applyFont="1" applyFill="1" applyBorder="1" applyAlignment="1">
      <alignment vertical="center"/>
    </xf>
    <xf numFmtId="181" fontId="30" fillId="0" borderId="0" xfId="0" applyNumberFormat="1" applyFont="1" applyBorder="1" applyAlignment="1">
      <alignment vertical="center"/>
    </xf>
    <xf numFmtId="181" fontId="30" fillId="0" borderId="27" xfId="0" applyNumberFormat="1" applyFont="1" applyBorder="1" applyAlignment="1">
      <alignment vertical="center"/>
    </xf>
    <xf numFmtId="181" fontId="25" fillId="0" borderId="27" xfId="0" applyNumberFormat="1" applyFont="1" applyFill="1" applyBorder="1" applyAlignment="1">
      <alignment horizontal="right" vertical="center"/>
    </xf>
    <xf numFmtId="181" fontId="25" fillId="0" borderId="35" xfId="0" applyNumberFormat="1" applyFont="1" applyFill="1" applyBorder="1" applyAlignment="1">
      <alignment vertical="center"/>
    </xf>
    <xf numFmtId="181" fontId="25" fillId="0" borderId="36" xfId="0" applyNumberFormat="1" applyFont="1" applyFill="1" applyBorder="1" applyAlignment="1">
      <alignment vertical="center"/>
    </xf>
    <xf numFmtId="181" fontId="25" fillId="34" borderId="44" xfId="0" applyNumberFormat="1" applyFont="1" applyFill="1" applyBorder="1" applyAlignment="1">
      <alignment vertical="center"/>
    </xf>
    <xf numFmtId="181" fontId="30" fillId="33" borderId="23" xfId="0" applyNumberFormat="1" applyFont="1" applyFill="1" applyBorder="1" applyAlignment="1">
      <alignment vertical="center"/>
    </xf>
    <xf numFmtId="181" fontId="30" fillId="33" borderId="35" xfId="0" applyNumberFormat="1" applyFont="1" applyFill="1" applyBorder="1" applyAlignment="1">
      <alignment vertical="center"/>
    </xf>
    <xf numFmtId="181" fontId="30" fillId="0" borderId="23" xfId="0" applyNumberFormat="1" applyFont="1" applyFill="1" applyBorder="1" applyAlignment="1">
      <alignment vertical="center"/>
    </xf>
    <xf numFmtId="181" fontId="25" fillId="0" borderId="23" xfId="0" applyNumberFormat="1" applyFont="1" applyBorder="1" applyAlignment="1">
      <alignment vertical="center"/>
    </xf>
    <xf numFmtId="181" fontId="25" fillId="33" borderId="44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horizontal="right" vertical="center"/>
    </xf>
    <xf numFmtId="177" fontId="0" fillId="36" borderId="83" xfId="50" applyNumberFormat="1" applyFont="1" applyFill="1" applyBorder="1" applyAlignment="1">
      <alignment horizontal="right" vertical="center"/>
    </xf>
    <xf numFmtId="178" fontId="24" fillId="0" borderId="0" xfId="44" applyNumberFormat="1" applyFont="1" applyFill="1" applyAlignment="1">
      <alignment vertical="center"/>
    </xf>
    <xf numFmtId="10" fontId="24" fillId="0" borderId="0" xfId="44" applyNumberFormat="1" applyFont="1" applyFill="1" applyAlignment="1">
      <alignment vertical="center"/>
    </xf>
    <xf numFmtId="41" fontId="0" fillId="0" borderId="0" xfId="49" applyFill="1" applyAlignment="1">
      <alignment/>
    </xf>
    <xf numFmtId="176" fontId="6" fillId="0" borderId="0" xfId="0" applyNumberFormat="1" applyFont="1" applyFill="1" applyAlignment="1">
      <alignment vertical="center"/>
    </xf>
    <xf numFmtId="177" fontId="0" fillId="0" borderId="55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177" fontId="35" fillId="0" borderId="20" xfId="50" applyNumberFormat="1" applyFont="1" applyFill="1" applyBorder="1" applyAlignment="1">
      <alignment horizontal="right" vertical="center"/>
    </xf>
    <xf numFmtId="177" fontId="35" fillId="0" borderId="13" xfId="50" applyNumberFormat="1" applyFont="1" applyFill="1" applyBorder="1" applyAlignment="1">
      <alignment horizontal="right" vertical="center"/>
    </xf>
    <xf numFmtId="41" fontId="0" fillId="0" borderId="0" xfId="49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3" fontId="1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2" fillId="34" borderId="44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9" fontId="6" fillId="0" borderId="29" xfId="44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 quotePrefix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/>
    </xf>
    <xf numFmtId="0" fontId="9" fillId="34" borderId="25" xfId="0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Continuous" vertical="center"/>
    </xf>
    <xf numFmtId="3" fontId="12" fillId="34" borderId="26" xfId="0" applyNumberFormat="1" applyFont="1" applyFill="1" applyBorder="1" applyAlignment="1">
      <alignment vertical="center"/>
    </xf>
    <xf numFmtId="3" fontId="12" fillId="34" borderId="27" xfId="0" applyNumberFormat="1" applyFont="1" applyFill="1" applyBorder="1" applyAlignment="1">
      <alignment vertical="center"/>
    </xf>
    <xf numFmtId="3" fontId="12" fillId="34" borderId="36" xfId="0" applyNumberFormat="1" applyFont="1" applyFill="1" applyBorder="1" applyAlignment="1">
      <alignment vertical="center"/>
    </xf>
    <xf numFmtId="3" fontId="12" fillId="34" borderId="30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vertical="center"/>
    </xf>
    <xf numFmtId="3" fontId="12" fillId="34" borderId="22" xfId="0" applyNumberFormat="1" applyFont="1" applyFill="1" applyBorder="1" applyAlignment="1">
      <alignment vertical="center"/>
    </xf>
    <xf numFmtId="0" fontId="10" fillId="0" borderId="56" xfId="0" applyFont="1" applyFill="1" applyBorder="1" applyAlignment="1">
      <alignment horizontal="centerContinuous" vertical="center"/>
    </xf>
    <xf numFmtId="0" fontId="9" fillId="0" borderId="57" xfId="0" applyFont="1" applyFill="1" applyBorder="1" applyAlignment="1">
      <alignment horizontal="centerContinuous" vertical="center"/>
    </xf>
    <xf numFmtId="3" fontId="11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12" fillId="0" borderId="59" xfId="0" applyNumberFormat="1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3" fontId="6" fillId="34" borderId="20" xfId="0" applyNumberFormat="1" applyFont="1" applyFill="1" applyBorder="1" applyAlignment="1">
      <alignment vertical="center"/>
    </xf>
    <xf numFmtId="3" fontId="12" fillId="34" borderId="22" xfId="0" applyNumberFormat="1" applyFont="1" applyFill="1" applyBorder="1" applyAlignment="1">
      <alignment horizontal="right" vertical="center"/>
    </xf>
    <xf numFmtId="3" fontId="6" fillId="34" borderId="29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3" fontId="45" fillId="0" borderId="29" xfId="0" applyNumberFormat="1" applyFont="1" applyFill="1" applyBorder="1" applyAlignment="1">
      <alignment vertical="center"/>
    </xf>
    <xf numFmtId="178" fontId="12" fillId="34" borderId="22" xfId="44" applyNumberFormat="1" applyFont="1" applyFill="1" applyBorder="1" applyAlignment="1" quotePrefix="1">
      <alignment horizontal="right" vertical="center"/>
    </xf>
    <xf numFmtId="3" fontId="12" fillId="0" borderId="44" xfId="0" applyNumberFormat="1" applyFont="1" applyFill="1" applyBorder="1" applyAlignment="1">
      <alignment horizontal="right" vertical="center"/>
    </xf>
    <xf numFmtId="181" fontId="13" fillId="0" borderId="60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64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42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1" fontId="5" fillId="0" borderId="0" xfId="49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41" fontId="0" fillId="0" borderId="0" xfId="49" applyFont="1" applyFill="1" applyAlignment="1">
      <alignment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0" fontId="0" fillId="0" borderId="0" xfId="44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41" fontId="0" fillId="0" borderId="0" xfId="49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1" fontId="0" fillId="0" borderId="0" xfId="49" applyFont="1" applyFill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3" fontId="12" fillId="0" borderId="26" xfId="0" applyNumberFormat="1" applyFont="1" applyBorder="1" applyAlignment="1">
      <alignment horizontal="distributed" vertical="center"/>
    </xf>
    <xf numFmtId="177" fontId="12" fillId="0" borderId="27" xfId="0" applyNumberFormat="1" applyFont="1" applyBorder="1" applyAlignment="1">
      <alignment vertical="center"/>
    </xf>
    <xf numFmtId="177" fontId="12" fillId="0" borderId="36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0" fontId="0" fillId="0" borderId="0" xfId="0" applyNumberFormat="1" applyFill="1" applyAlignment="1">
      <alignment vertical="center"/>
    </xf>
    <xf numFmtId="3" fontId="12" fillId="0" borderId="20" xfId="0" applyNumberFormat="1" applyFont="1" applyFill="1" applyBorder="1" applyAlignment="1">
      <alignment horizontal="distributed" vertical="center"/>
    </xf>
    <xf numFmtId="41" fontId="0" fillId="0" borderId="20" xfId="49" applyFont="1" applyFill="1" applyBorder="1" applyAlignment="1">
      <alignment vertical="center"/>
    </xf>
    <xf numFmtId="178" fontId="0" fillId="0" borderId="0" xfId="44" applyNumberFormat="1" applyFont="1" applyFill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distributed" vertical="center"/>
    </xf>
    <xf numFmtId="3" fontId="12" fillId="0" borderId="0" xfId="0" applyNumberFormat="1" applyFont="1" applyBorder="1" applyAlignment="1">
      <alignment vertical="center"/>
    </xf>
    <xf numFmtId="177" fontId="12" fillId="0" borderId="44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horizontal="distributed" vertical="center"/>
    </xf>
    <xf numFmtId="3" fontId="12" fillId="0" borderId="20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horizontal="distributed" vertical="center"/>
    </xf>
    <xf numFmtId="181" fontId="12" fillId="0" borderId="44" xfId="0" applyNumberFormat="1" applyFont="1" applyBorder="1" applyAlignment="1">
      <alignment vertical="center"/>
    </xf>
    <xf numFmtId="10" fontId="0" fillId="0" borderId="55" xfId="44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horizontal="distributed" vertical="center"/>
    </xf>
    <xf numFmtId="176" fontId="6" fillId="0" borderId="62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2" fillId="0" borderId="63" xfId="0" applyNumberFormat="1" applyFont="1" applyFill="1" applyBorder="1" applyAlignment="1">
      <alignment horizontal="distributed" vertical="center"/>
    </xf>
    <xf numFmtId="3" fontId="12" fillId="0" borderId="64" xfId="0" applyNumberFormat="1" applyFon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181" fontId="12" fillId="0" borderId="18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Continuous" vertical="center"/>
    </xf>
    <xf numFmtId="176" fontId="11" fillId="0" borderId="13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6" fontId="0" fillId="0" borderId="0" xfId="49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41" fontId="11" fillId="0" borderId="20" xfId="49" applyFont="1" applyFill="1" applyBorder="1" applyAlignment="1">
      <alignment vertical="center"/>
    </xf>
    <xf numFmtId="41" fontId="6" fillId="0" borderId="20" xfId="49" applyFont="1" applyFill="1" applyBorder="1" applyAlignment="1">
      <alignment vertical="center"/>
    </xf>
    <xf numFmtId="41" fontId="6" fillId="0" borderId="32" xfId="49" applyFont="1" applyFill="1" applyBorder="1" applyAlignment="1">
      <alignment vertical="center"/>
    </xf>
    <xf numFmtId="41" fontId="6" fillId="33" borderId="20" xfId="49" applyFont="1" applyFill="1" applyBorder="1" applyAlignment="1">
      <alignment vertical="center"/>
    </xf>
    <xf numFmtId="41" fontId="6" fillId="33" borderId="25" xfId="49" applyFont="1" applyFill="1" applyBorder="1" applyAlignment="1">
      <alignment vertical="center"/>
    </xf>
    <xf numFmtId="41" fontId="6" fillId="0" borderId="25" xfId="49" applyFont="1" applyFill="1" applyBorder="1" applyAlignment="1">
      <alignment vertical="center"/>
    </xf>
    <xf numFmtId="41" fontId="6" fillId="0" borderId="29" xfId="49" applyFont="1" applyFill="1" applyBorder="1" applyAlignment="1">
      <alignment vertical="center"/>
    </xf>
    <xf numFmtId="41" fontId="6" fillId="0" borderId="62" xfId="49" applyFont="1" applyFill="1" applyBorder="1" applyAlignment="1">
      <alignment vertical="center"/>
    </xf>
    <xf numFmtId="41" fontId="6" fillId="33" borderId="29" xfId="49" applyFont="1" applyFill="1" applyBorder="1" applyAlignment="1">
      <alignment vertical="center"/>
    </xf>
    <xf numFmtId="41" fontId="11" fillId="0" borderId="57" xfId="49" applyFont="1" applyFill="1" applyBorder="1" applyAlignment="1">
      <alignment vertical="center"/>
    </xf>
    <xf numFmtId="41" fontId="11" fillId="0" borderId="13" xfId="49" applyFont="1" applyFill="1" applyBorder="1" applyAlignment="1">
      <alignment vertical="center"/>
    </xf>
    <xf numFmtId="181" fontId="12" fillId="0" borderId="27" xfId="49" applyNumberFormat="1" applyFont="1" applyFill="1" applyBorder="1" applyAlignment="1">
      <alignment vertical="center"/>
    </xf>
    <xf numFmtId="181" fontId="12" fillId="0" borderId="44" xfId="49" applyNumberFormat="1" applyFont="1" applyBorder="1" applyAlignment="1">
      <alignment vertical="center"/>
    </xf>
    <xf numFmtId="181" fontId="12" fillId="0" borderId="0" xfId="49" applyNumberFormat="1" applyFont="1" applyFill="1" applyBorder="1" applyAlignment="1">
      <alignment vertical="center"/>
    </xf>
    <xf numFmtId="181" fontId="12" fillId="0" borderId="64" xfId="49" applyNumberFormat="1" applyFont="1" applyFill="1" applyBorder="1" applyAlignment="1">
      <alignment vertical="center"/>
    </xf>
    <xf numFmtId="181" fontId="12" fillId="0" borderId="65" xfId="49" applyNumberFormat="1" applyFont="1" applyBorder="1" applyAlignment="1">
      <alignment vertical="center"/>
    </xf>
    <xf numFmtId="181" fontId="13" fillId="0" borderId="35" xfId="0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41" fontId="6" fillId="0" borderId="0" xfId="49" applyFont="1" applyFill="1" applyAlignment="1">
      <alignment vertical="center"/>
    </xf>
    <xf numFmtId="41" fontId="11" fillId="0" borderId="15" xfId="49" applyFont="1" applyFill="1" applyBorder="1" applyAlignment="1">
      <alignment vertical="center"/>
    </xf>
    <xf numFmtId="41" fontId="11" fillId="0" borderId="32" xfId="49" applyFont="1" applyFill="1" applyBorder="1" applyAlignment="1">
      <alignment vertical="center"/>
    </xf>
    <xf numFmtId="41" fontId="6" fillId="0" borderId="13" xfId="49" applyFont="1" applyFill="1" applyBorder="1" applyAlignment="1">
      <alignment vertical="center"/>
    </xf>
    <xf numFmtId="41" fontId="6" fillId="33" borderId="32" xfId="49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34" borderId="23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3" fontId="45" fillId="0" borderId="20" xfId="0" applyNumberFormat="1" applyFont="1" applyFill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10" fontId="0" fillId="0" borderId="0" xfId="44" applyNumberFormat="1" applyFill="1" applyAlignment="1">
      <alignment vertical="center"/>
    </xf>
    <xf numFmtId="41" fontId="0" fillId="0" borderId="0" xfId="49" applyFill="1" applyBorder="1" applyAlignment="1">
      <alignment vertical="center"/>
    </xf>
    <xf numFmtId="179" fontId="0" fillId="0" borderId="0" xfId="44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41" fontId="0" fillId="0" borderId="0" xfId="49" applyFont="1" applyFill="1" applyAlignment="1">
      <alignment vertical="center"/>
    </xf>
    <xf numFmtId="3" fontId="25" fillId="0" borderId="33" xfId="0" applyNumberFormat="1" applyFont="1" applyBorder="1" applyAlignment="1">
      <alignment vertical="center"/>
    </xf>
    <xf numFmtId="41" fontId="35" fillId="0" borderId="0" xfId="50" applyFon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0" fontId="22" fillId="0" borderId="43" xfId="0" applyFont="1" applyFill="1" applyBorder="1" applyAlignment="1">
      <alignment vertical="center" wrapText="1"/>
    </xf>
    <xf numFmtId="177" fontId="0" fillId="0" borderId="20" xfId="0" applyNumberFormat="1" applyFill="1" applyBorder="1" applyAlignment="1">
      <alignment horizontal="right" vertical="center"/>
    </xf>
    <xf numFmtId="177" fontId="35" fillId="0" borderId="20" xfId="50" applyNumberFormat="1" applyFon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35" fillId="0" borderId="20" xfId="50" applyNumberFormat="1" applyFont="1" applyFill="1" applyBorder="1" applyAlignment="1">
      <alignment horizontal="right" vertical="center"/>
    </xf>
    <xf numFmtId="0" fontId="22" fillId="0" borderId="90" xfId="0" applyFont="1" applyFill="1" applyBorder="1" applyAlignment="1">
      <alignment vertical="center"/>
    </xf>
    <xf numFmtId="177" fontId="35" fillId="0" borderId="20" xfId="50" applyNumberFormat="1" applyFont="1" applyFill="1" applyBorder="1" applyAlignment="1">
      <alignment horizontal="right" vertical="center"/>
    </xf>
    <xf numFmtId="177" fontId="0" fillId="37" borderId="20" xfId="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41" fontId="0" fillId="0" borderId="106" xfId="50" applyFont="1" applyFill="1" applyBorder="1" applyAlignment="1">
      <alignment horizontal="left" vertical="center"/>
    </xf>
    <xf numFmtId="41" fontId="0" fillId="0" borderId="106" xfId="50" applyFont="1" applyFill="1" applyBorder="1" applyAlignment="1">
      <alignment horizontal="left" vertical="center"/>
    </xf>
    <xf numFmtId="41" fontId="0" fillId="0" borderId="112" xfId="50" applyFont="1" applyFill="1" applyBorder="1" applyAlignment="1">
      <alignment horizontal="lef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4" xfId="50" applyNumberForma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4" xfId="50" applyNumberForma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41" fontId="37" fillId="0" borderId="103" xfId="50" applyFont="1" applyFill="1" applyBorder="1" applyAlignment="1">
      <alignment horizontal="left" vertical="center"/>
    </xf>
    <xf numFmtId="41" fontId="37" fillId="0" borderId="106" xfId="50" applyFont="1" applyFill="1" applyBorder="1" applyAlignment="1">
      <alignment horizontal="left" vertical="center"/>
    </xf>
    <xf numFmtId="41" fontId="37" fillId="0" borderId="103" xfId="50" applyFont="1" applyFill="1" applyBorder="1" applyAlignment="1">
      <alignment horizontal="left" vertical="center" wrapText="1"/>
    </xf>
    <xf numFmtId="41" fontId="37" fillId="0" borderId="106" xfId="50" applyFont="1" applyFill="1" applyBorder="1" applyAlignment="1">
      <alignment horizontal="left" vertical="center" wrapText="1"/>
    </xf>
    <xf numFmtId="41" fontId="37" fillId="0" borderId="106" xfId="50" applyFont="1" applyFill="1" applyBorder="1" applyAlignment="1">
      <alignment horizontal="left" vertical="center"/>
    </xf>
    <xf numFmtId="41" fontId="37" fillId="0" borderId="103" xfId="50" applyFont="1" applyFill="1" applyBorder="1" applyAlignment="1">
      <alignment horizontal="left" vertical="center" wrapText="1"/>
    </xf>
    <xf numFmtId="41" fontId="37" fillId="0" borderId="106" xfId="50" applyFont="1" applyFill="1" applyBorder="1" applyAlignment="1">
      <alignment horizontal="left" vertical="center" wrapText="1"/>
    </xf>
    <xf numFmtId="177" fontId="0" fillId="0" borderId="101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4" xfId="50" applyNumberForma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177" fontId="0" fillId="0" borderId="116" xfId="50" applyNumberFormat="1" applyFill="1" applyBorder="1" applyAlignment="1">
      <alignment horizontal="right" vertical="center"/>
    </xf>
    <xf numFmtId="177" fontId="0" fillId="0" borderId="107" xfId="50" applyNumberFormat="1" applyFont="1" applyFill="1" applyBorder="1" applyAlignment="1">
      <alignment horizontal="right" vertical="center"/>
    </xf>
    <xf numFmtId="177" fontId="0" fillId="0" borderId="125" xfId="50" applyNumberFormat="1" applyFill="1" applyBorder="1" applyAlignment="1">
      <alignment horizontal="right" vertical="center"/>
    </xf>
    <xf numFmtId="177" fontId="0" fillId="0" borderId="126" xfId="50" applyNumberFormat="1" applyFont="1" applyFill="1" applyBorder="1" applyAlignment="1">
      <alignment horizontal="right" vertical="center"/>
    </xf>
    <xf numFmtId="177" fontId="0" fillId="0" borderId="127" xfId="50" applyNumberFormat="1" applyFill="1" applyBorder="1" applyAlignment="1">
      <alignment horizontal="right" vertical="center"/>
    </xf>
    <xf numFmtId="177" fontId="0" fillId="0" borderId="101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4" xfId="50" applyNumberForma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9" xfId="50" applyNumberFormat="1" applyFill="1" applyBorder="1" applyAlignment="1">
      <alignment horizontal="right" vertical="center"/>
    </xf>
    <xf numFmtId="177" fontId="0" fillId="0" borderId="101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1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7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9" xfId="50" applyNumberFormat="1" applyFill="1" applyBorder="1" applyAlignment="1">
      <alignment horizontal="right" vertical="center"/>
    </xf>
    <xf numFmtId="177" fontId="0" fillId="0" borderId="86" xfId="50" applyNumberFormat="1" applyFill="1" applyBorder="1" applyAlignment="1">
      <alignment horizontal="right" vertical="center"/>
    </xf>
    <xf numFmtId="177" fontId="0" fillId="0" borderId="101" xfId="50" applyNumberForma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05" xfId="50" applyNumberFormat="1" applyFill="1" applyBorder="1" applyAlignment="1">
      <alignment horizontal="right" vertical="center"/>
    </xf>
    <xf numFmtId="177" fontId="0" fillId="0" borderId="109" xfId="50" applyNumberFormat="1" applyFill="1" applyBorder="1" applyAlignment="1">
      <alignment horizontal="right" vertical="center"/>
    </xf>
    <xf numFmtId="177" fontId="0" fillId="0" borderId="101" xfId="50" applyNumberFormat="1" applyFont="1" applyFill="1" applyBorder="1" applyAlignment="1">
      <alignment horizontal="right" vertical="center"/>
    </xf>
    <xf numFmtId="177" fontId="0" fillId="0" borderId="116" xfId="50" applyNumberFormat="1" applyFont="1" applyFill="1" applyBorder="1" applyAlignment="1">
      <alignment horizontal="right" vertical="center"/>
    </xf>
    <xf numFmtId="181" fontId="25" fillId="33" borderId="23" xfId="0" applyNumberFormat="1" applyFont="1" applyFill="1" applyBorder="1" applyAlignment="1">
      <alignment vertical="center"/>
    </xf>
    <xf numFmtId="181" fontId="30" fillId="0" borderId="35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77" fontId="0" fillId="0" borderId="15" xfId="0" applyNumberFormat="1" applyFill="1" applyBorder="1" applyAlignment="1">
      <alignment horizontal="right" vertical="center"/>
    </xf>
    <xf numFmtId="177" fontId="35" fillId="0" borderId="15" xfId="50" applyNumberFormat="1" applyFont="1" applyFill="1" applyBorder="1" applyAlignment="1">
      <alignment horizontal="right" vertical="center"/>
    </xf>
    <xf numFmtId="177" fontId="35" fillId="0" borderId="128" xfId="5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177" fontId="35" fillId="0" borderId="12" xfId="50" applyNumberFormat="1" applyFont="1" applyFill="1" applyBorder="1" applyAlignment="1">
      <alignment horizontal="right" vertical="center"/>
    </xf>
    <xf numFmtId="41" fontId="0" fillId="0" borderId="106" xfId="50" applyFont="1" applyFill="1" applyBorder="1" applyAlignment="1">
      <alignment horizontal="left" vertical="center" wrapText="1"/>
    </xf>
    <xf numFmtId="177" fontId="0" fillId="0" borderId="104" xfId="50" applyNumberFormat="1" applyFont="1" applyFill="1" applyBorder="1" applyAlignment="1">
      <alignment horizontal="right" vertical="center"/>
    </xf>
    <xf numFmtId="177" fontId="0" fillId="0" borderId="105" xfId="50" applyNumberFormat="1" applyFont="1" applyFill="1" applyBorder="1" applyAlignment="1">
      <alignment horizontal="right" vertical="center"/>
    </xf>
    <xf numFmtId="177" fontId="0" fillId="0" borderId="127" xfId="50" applyNumberFormat="1" applyFont="1" applyFill="1" applyBorder="1" applyAlignment="1">
      <alignment horizontal="right" vertical="center"/>
    </xf>
    <xf numFmtId="177" fontId="0" fillId="0" borderId="86" xfId="50" applyNumberFormat="1" applyFont="1" applyFill="1" applyBorder="1" applyAlignment="1">
      <alignment horizontal="right" vertical="center"/>
    </xf>
    <xf numFmtId="177" fontId="0" fillId="0" borderId="86" xfId="50" applyNumberFormat="1" applyFont="1" applyFill="1" applyBorder="1" applyAlignment="1">
      <alignment horizontal="right" vertical="center"/>
    </xf>
    <xf numFmtId="41" fontId="0" fillId="0" borderId="0" xfId="49" applyFont="1" applyFill="1" applyAlignment="1">
      <alignment horizontal="center" vertical="center"/>
    </xf>
    <xf numFmtId="41" fontId="36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29" fillId="34" borderId="20" xfId="0" applyFont="1" applyFill="1" applyBorder="1" applyAlignment="1">
      <alignment vertical="center"/>
    </xf>
    <xf numFmtId="181" fontId="30" fillId="0" borderId="22" xfId="0" applyNumberFormat="1" applyFont="1" applyBorder="1" applyAlignment="1">
      <alignment vertical="center"/>
    </xf>
    <xf numFmtId="181" fontId="25" fillId="0" borderId="36" xfId="0" applyNumberFormat="1" applyFont="1" applyBorder="1" applyAlignment="1">
      <alignment vertical="center"/>
    </xf>
    <xf numFmtId="3" fontId="12" fillId="0" borderId="47" xfId="0" applyNumberFormat="1" applyFont="1" applyFill="1" applyBorder="1" applyAlignment="1">
      <alignment vertical="center"/>
    </xf>
    <xf numFmtId="0" fontId="29" fillId="0" borderId="81" xfId="0" applyFont="1" applyFill="1" applyBorder="1" applyAlignment="1">
      <alignment vertical="center"/>
    </xf>
    <xf numFmtId="41" fontId="12" fillId="0" borderId="17" xfId="49" applyFont="1" applyFill="1" applyBorder="1" applyAlignment="1">
      <alignment vertical="center"/>
    </xf>
    <xf numFmtId="0" fontId="19" fillId="0" borderId="43" xfId="0" applyFont="1" applyBorder="1" applyAlignment="1">
      <alignment horizontal="left" vertical="center"/>
    </xf>
    <xf numFmtId="177" fontId="0" fillId="0" borderId="116" xfId="5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0" fillId="0" borderId="0" xfId="49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81" fontId="12" fillId="0" borderId="35" xfId="0" applyNumberFormat="1" applyFont="1" applyFill="1" applyBorder="1" applyAlignment="1">
      <alignment vertical="center"/>
    </xf>
    <xf numFmtId="41" fontId="37" fillId="0" borderId="122" xfId="50" applyFont="1" applyFill="1" applyBorder="1" applyAlignment="1">
      <alignment horizontal="left" vertical="center" wrapText="1"/>
    </xf>
    <xf numFmtId="3" fontId="12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81" fontId="6" fillId="0" borderId="32" xfId="0" applyNumberFormat="1" applyFont="1" applyBorder="1" applyAlignment="1">
      <alignment horizontal="right" vertical="center"/>
    </xf>
    <xf numFmtId="0" fontId="19" fillId="0" borderId="8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distributed" vertical="distributed"/>
    </xf>
    <xf numFmtId="0" fontId="6" fillId="0" borderId="32" xfId="0" applyFont="1" applyBorder="1" applyAlignment="1">
      <alignment horizontal="center" vertical="distributed"/>
    </xf>
    <xf numFmtId="0" fontId="9" fillId="0" borderId="19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20" xfId="44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181" fontId="30" fillId="33" borderId="36" xfId="0" applyNumberFormat="1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3" fontId="25" fillId="34" borderId="21" xfId="0" applyNumberFormat="1" applyFont="1" applyFill="1" applyBorder="1" applyAlignment="1">
      <alignment vertical="center"/>
    </xf>
    <xf numFmtId="3" fontId="25" fillId="34" borderId="22" xfId="0" applyNumberFormat="1" applyFont="1" applyFill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81" fontId="12" fillId="0" borderId="18" xfId="49" applyNumberFormat="1" applyFont="1" applyFill="1" applyBorder="1" applyAlignment="1">
      <alignment vertical="center"/>
    </xf>
    <xf numFmtId="181" fontId="12" fillId="0" borderId="44" xfId="49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181" fontId="11" fillId="0" borderId="29" xfId="0" applyNumberFormat="1" applyFont="1" applyFill="1" applyBorder="1" applyAlignment="1">
      <alignment vertical="center"/>
    </xf>
    <xf numFmtId="181" fontId="11" fillId="0" borderId="32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1" fontId="11" fillId="0" borderId="46" xfId="0" applyNumberFormat="1" applyFont="1" applyFill="1" applyBorder="1" applyAlignment="1">
      <alignment vertical="center"/>
    </xf>
    <xf numFmtId="181" fontId="11" fillId="0" borderId="20" xfId="0" applyNumberFormat="1" applyFont="1" applyFill="1" applyBorder="1" applyAlignment="1">
      <alignment vertical="center"/>
    </xf>
    <xf numFmtId="181" fontId="6" fillId="34" borderId="32" xfId="0" applyNumberFormat="1" applyFont="1" applyFill="1" applyBorder="1" applyAlignment="1">
      <alignment vertical="center"/>
    </xf>
    <xf numFmtId="181" fontId="6" fillId="0" borderId="51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vertical="center"/>
    </xf>
    <xf numFmtId="187" fontId="28" fillId="0" borderId="15" xfId="0" applyNumberFormat="1" applyFont="1" applyFill="1" applyBorder="1" applyAlignment="1">
      <alignment vertical="center"/>
    </xf>
    <xf numFmtId="187" fontId="24" fillId="0" borderId="20" xfId="0" applyNumberFormat="1" applyFont="1" applyFill="1" applyBorder="1" applyAlignment="1">
      <alignment vertical="center"/>
    </xf>
    <xf numFmtId="187" fontId="6" fillId="0" borderId="20" xfId="51" applyNumberFormat="1" applyFont="1" applyFill="1" applyBorder="1" applyAlignment="1">
      <alignment vertical="center"/>
    </xf>
    <xf numFmtId="187" fontId="24" fillId="0" borderId="25" xfId="0" applyNumberFormat="1" applyFont="1" applyFill="1" applyBorder="1" applyAlignment="1">
      <alignment horizontal="right" vertical="center"/>
    </xf>
    <xf numFmtId="187" fontId="6" fillId="0" borderId="25" xfId="51" applyNumberFormat="1" applyFont="1" applyFill="1" applyBorder="1" applyAlignment="1">
      <alignment horizontal="right" vertical="center"/>
    </xf>
    <xf numFmtId="187" fontId="28" fillId="0" borderId="32" xfId="0" applyNumberFormat="1" applyFont="1" applyFill="1" applyBorder="1" applyAlignment="1">
      <alignment vertical="center"/>
    </xf>
    <xf numFmtId="187" fontId="24" fillId="0" borderId="25" xfId="0" applyNumberFormat="1" applyFont="1" applyFill="1" applyBorder="1" applyAlignment="1">
      <alignment vertical="center"/>
    </xf>
    <xf numFmtId="187" fontId="6" fillId="33" borderId="25" xfId="51" applyNumberFormat="1" applyFont="1" applyFill="1" applyBorder="1" applyAlignment="1">
      <alignment vertical="center"/>
    </xf>
    <xf numFmtId="187" fontId="24" fillId="0" borderId="29" xfId="0" applyNumberFormat="1" applyFont="1" applyFill="1" applyBorder="1" applyAlignment="1">
      <alignment vertical="center"/>
    </xf>
    <xf numFmtId="187" fontId="6" fillId="0" borderId="29" xfId="51" applyNumberFormat="1" applyFont="1" applyFill="1" applyBorder="1" applyAlignment="1">
      <alignment vertical="center"/>
    </xf>
    <xf numFmtId="187" fontId="24" fillId="0" borderId="32" xfId="0" applyNumberFormat="1" applyFont="1" applyFill="1" applyBorder="1" applyAlignment="1">
      <alignment vertical="center"/>
    </xf>
    <xf numFmtId="187" fontId="6" fillId="0" borderId="25" xfId="51" applyNumberFormat="1" applyFont="1" applyFill="1" applyBorder="1" applyAlignment="1">
      <alignment vertical="center"/>
    </xf>
    <xf numFmtId="187" fontId="6" fillId="0" borderId="32" xfId="51" applyNumberFormat="1" applyFont="1" applyFill="1" applyBorder="1" applyAlignment="1">
      <alignment vertical="center"/>
    </xf>
    <xf numFmtId="187" fontId="24" fillId="0" borderId="13" xfId="0" applyNumberFormat="1" applyFont="1" applyFill="1" applyBorder="1" applyAlignment="1">
      <alignment vertical="center"/>
    </xf>
    <xf numFmtId="187" fontId="6" fillId="0" borderId="13" xfId="51" applyNumberFormat="1" applyFont="1" applyFill="1" applyBorder="1" applyAlignment="1">
      <alignment vertical="center"/>
    </xf>
    <xf numFmtId="187" fontId="24" fillId="33" borderId="25" xfId="0" applyNumberFormat="1" applyFont="1" applyFill="1" applyBorder="1" applyAlignment="1">
      <alignment vertical="center"/>
    </xf>
    <xf numFmtId="187" fontId="24" fillId="0" borderId="62" xfId="0" applyNumberFormat="1" applyFont="1" applyFill="1" applyBorder="1" applyAlignment="1">
      <alignment vertical="center"/>
    </xf>
    <xf numFmtId="187" fontId="6" fillId="0" borderId="62" xfId="51" applyNumberFormat="1" applyFont="1" applyFill="1" applyBorder="1" applyAlignment="1">
      <alignment vertical="center"/>
    </xf>
    <xf numFmtId="187" fontId="24" fillId="33" borderId="20" xfId="0" applyNumberFormat="1" applyFont="1" applyFill="1" applyBorder="1" applyAlignment="1">
      <alignment vertical="center"/>
    </xf>
    <xf numFmtId="187" fontId="24" fillId="33" borderId="13" xfId="0" applyNumberFormat="1" applyFont="1" applyFill="1" applyBorder="1" applyAlignment="1">
      <alignment vertical="center"/>
    </xf>
    <xf numFmtId="187" fontId="11" fillId="0" borderId="32" xfId="51" applyNumberFormat="1" applyFont="1" applyFill="1" applyBorder="1" applyAlignment="1">
      <alignment vertical="center"/>
    </xf>
    <xf numFmtId="187" fontId="28" fillId="0" borderId="20" xfId="0" applyNumberFormat="1" applyFont="1" applyFill="1" applyBorder="1" applyAlignment="1">
      <alignment vertical="center"/>
    </xf>
    <xf numFmtId="187" fontId="24" fillId="33" borderId="29" xfId="0" applyNumberFormat="1" applyFont="1" applyFill="1" applyBorder="1" applyAlignment="1">
      <alignment vertical="center"/>
    </xf>
    <xf numFmtId="187" fontId="11" fillId="0" borderId="20" xfId="51" applyNumberFormat="1" applyFont="1" applyFill="1" applyBorder="1" applyAlignment="1">
      <alignment vertical="center"/>
    </xf>
    <xf numFmtId="187" fontId="6" fillId="33" borderId="29" xfId="51" applyNumberFormat="1" applyFont="1" applyFill="1" applyBorder="1" applyAlignment="1">
      <alignment vertical="center"/>
    </xf>
    <xf numFmtId="187" fontId="24" fillId="33" borderId="32" xfId="0" applyNumberFormat="1" applyFont="1" applyFill="1" applyBorder="1" applyAlignment="1">
      <alignment vertical="center"/>
    </xf>
    <xf numFmtId="187" fontId="6" fillId="33" borderId="32" xfId="51" applyNumberFormat="1" applyFont="1" applyFill="1" applyBorder="1" applyAlignment="1">
      <alignment vertical="center"/>
    </xf>
    <xf numFmtId="187" fontId="28" fillId="0" borderId="57" xfId="0" applyNumberFormat="1" applyFont="1" applyFill="1" applyBorder="1" applyAlignment="1">
      <alignment vertical="center"/>
    </xf>
    <xf numFmtId="187" fontId="28" fillId="0" borderId="13" xfId="0" applyNumberFormat="1" applyFont="1" applyFill="1" applyBorder="1" applyAlignment="1">
      <alignment vertical="center"/>
    </xf>
    <xf numFmtId="187" fontId="11" fillId="0" borderId="15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vertical="center"/>
    </xf>
    <xf numFmtId="187" fontId="6" fillId="0" borderId="25" xfId="0" applyNumberFormat="1" applyFont="1" applyFill="1" applyBorder="1" applyAlignment="1">
      <alignment vertical="center"/>
    </xf>
    <xf numFmtId="187" fontId="11" fillId="0" borderId="29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6" fillId="0" borderId="32" xfId="0" applyNumberFormat="1" applyFont="1" applyFill="1" applyBorder="1" applyAlignment="1">
      <alignment vertical="center"/>
    </xf>
    <xf numFmtId="187" fontId="6" fillId="0" borderId="29" xfId="0" applyNumberFormat="1" applyFont="1" applyFill="1" applyBorder="1" applyAlignment="1">
      <alignment vertical="center"/>
    </xf>
    <xf numFmtId="187" fontId="6" fillId="0" borderId="46" xfId="0" applyNumberFormat="1" applyFont="1" applyFill="1" applyBorder="1" applyAlignment="1">
      <alignment vertical="center"/>
    </xf>
    <xf numFmtId="187" fontId="11" fillId="0" borderId="20" xfId="0" applyNumberFormat="1" applyFont="1" applyFill="1" applyBorder="1" applyAlignment="1">
      <alignment vertical="center"/>
    </xf>
    <xf numFmtId="187" fontId="6" fillId="0" borderId="51" xfId="0" applyNumberFormat="1" applyFont="1" applyFill="1" applyBorder="1" applyAlignment="1">
      <alignment vertical="center"/>
    </xf>
    <xf numFmtId="187" fontId="6" fillId="34" borderId="32" xfId="0" applyNumberFormat="1" applyFont="1" applyFill="1" applyBorder="1" applyAlignment="1">
      <alignment vertical="center"/>
    </xf>
    <xf numFmtId="187" fontId="11" fillId="0" borderId="15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>
      <alignment vertical="center"/>
    </xf>
    <xf numFmtId="188" fontId="28" fillId="0" borderId="15" xfId="0" applyNumberFormat="1" applyFont="1" applyFill="1" applyBorder="1" applyAlignment="1">
      <alignment vertical="center"/>
    </xf>
    <xf numFmtId="188" fontId="24" fillId="0" borderId="20" xfId="0" applyNumberFormat="1" applyFont="1" applyFill="1" applyBorder="1" applyAlignment="1">
      <alignment vertical="center"/>
    </xf>
    <xf numFmtId="188" fontId="6" fillId="0" borderId="20" xfId="51" applyNumberFormat="1" applyFont="1" applyFill="1" applyBorder="1" applyAlignment="1">
      <alignment vertical="center"/>
    </xf>
    <xf numFmtId="188" fontId="28" fillId="0" borderId="32" xfId="0" applyNumberFormat="1" applyFont="1" applyFill="1" applyBorder="1" applyAlignment="1">
      <alignment vertical="center"/>
    </xf>
    <xf numFmtId="188" fontId="24" fillId="0" borderId="25" xfId="0" applyNumberFormat="1" applyFont="1" applyFill="1" applyBorder="1" applyAlignment="1">
      <alignment vertical="center"/>
    </xf>
    <xf numFmtId="188" fontId="6" fillId="33" borderId="25" xfId="51" applyNumberFormat="1" applyFont="1" applyFill="1" applyBorder="1" applyAlignment="1">
      <alignment vertical="center"/>
    </xf>
    <xf numFmtId="188" fontId="24" fillId="0" borderId="29" xfId="0" applyNumberFormat="1" applyFont="1" applyFill="1" applyBorder="1" applyAlignment="1">
      <alignment vertical="center"/>
    </xf>
    <xf numFmtId="188" fontId="6" fillId="0" borderId="29" xfId="51" applyNumberFormat="1" applyFont="1" applyFill="1" applyBorder="1" applyAlignment="1">
      <alignment vertical="center"/>
    </xf>
    <xf numFmtId="188" fontId="24" fillId="0" borderId="32" xfId="0" applyNumberFormat="1" applyFont="1" applyFill="1" applyBorder="1" applyAlignment="1">
      <alignment vertical="center"/>
    </xf>
    <xf numFmtId="188" fontId="6" fillId="0" borderId="25" xfId="51" applyNumberFormat="1" applyFont="1" applyFill="1" applyBorder="1" applyAlignment="1">
      <alignment vertical="center"/>
    </xf>
    <xf numFmtId="188" fontId="6" fillId="0" borderId="32" xfId="51" applyNumberFormat="1" applyFont="1" applyFill="1" applyBorder="1" applyAlignment="1">
      <alignment vertical="center"/>
    </xf>
    <xf numFmtId="188" fontId="24" fillId="0" borderId="13" xfId="0" applyNumberFormat="1" applyFont="1" applyFill="1" applyBorder="1" applyAlignment="1">
      <alignment vertical="center"/>
    </xf>
    <xf numFmtId="188" fontId="6" fillId="0" borderId="13" xfId="51" applyNumberFormat="1" applyFont="1" applyFill="1" applyBorder="1" applyAlignment="1">
      <alignment vertical="center"/>
    </xf>
    <xf numFmtId="188" fontId="24" fillId="33" borderId="32" xfId="0" applyNumberFormat="1" applyFont="1" applyFill="1" applyBorder="1" applyAlignment="1">
      <alignment vertical="center"/>
    </xf>
    <xf numFmtId="188" fontId="24" fillId="33" borderId="20" xfId="0" applyNumberFormat="1" applyFont="1" applyFill="1" applyBorder="1" applyAlignment="1">
      <alignment vertical="center"/>
    </xf>
    <xf numFmtId="188" fontId="24" fillId="33" borderId="25" xfId="0" applyNumberFormat="1" applyFont="1" applyFill="1" applyBorder="1" applyAlignment="1">
      <alignment vertical="center"/>
    </xf>
    <xf numFmtId="188" fontId="24" fillId="0" borderId="62" xfId="0" applyNumberFormat="1" applyFont="1" applyFill="1" applyBorder="1" applyAlignment="1">
      <alignment vertical="center"/>
    </xf>
    <xf numFmtId="188" fontId="6" fillId="0" borderId="62" xfId="51" applyNumberFormat="1" applyFont="1" applyFill="1" applyBorder="1" applyAlignment="1">
      <alignment vertical="center"/>
    </xf>
    <xf numFmtId="188" fontId="24" fillId="33" borderId="13" xfId="0" applyNumberFormat="1" applyFont="1" applyFill="1" applyBorder="1" applyAlignment="1">
      <alignment vertical="center"/>
    </xf>
    <xf numFmtId="188" fontId="11" fillId="0" borderId="32" xfId="51" applyNumberFormat="1" applyFont="1" applyFill="1" applyBorder="1" applyAlignment="1">
      <alignment vertical="center"/>
    </xf>
    <xf numFmtId="188" fontId="28" fillId="0" borderId="20" xfId="0" applyNumberFormat="1" applyFont="1" applyFill="1" applyBorder="1" applyAlignment="1">
      <alignment vertical="center"/>
    </xf>
    <xf numFmtId="188" fontId="24" fillId="33" borderId="29" xfId="0" applyNumberFormat="1" applyFont="1" applyFill="1" applyBorder="1" applyAlignment="1">
      <alignment vertical="center"/>
    </xf>
    <xf numFmtId="188" fontId="11" fillId="0" borderId="20" xfId="51" applyNumberFormat="1" applyFont="1" applyFill="1" applyBorder="1" applyAlignment="1">
      <alignment vertical="center"/>
    </xf>
    <xf numFmtId="188" fontId="6" fillId="33" borderId="32" xfId="51" applyNumberFormat="1" applyFont="1" applyFill="1" applyBorder="1" applyAlignment="1">
      <alignment vertical="center"/>
    </xf>
    <xf numFmtId="188" fontId="28" fillId="0" borderId="57" xfId="0" applyNumberFormat="1" applyFont="1" applyFill="1" applyBorder="1" applyAlignment="1">
      <alignment vertical="center"/>
    </xf>
    <xf numFmtId="188" fontId="28" fillId="0" borderId="13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vertical="center" wrapText="1"/>
    </xf>
    <xf numFmtId="3" fontId="12" fillId="0" borderId="38" xfId="0" applyNumberFormat="1" applyFont="1" applyFill="1" applyBorder="1" applyAlignment="1">
      <alignment vertical="center" wrapText="1"/>
    </xf>
    <xf numFmtId="181" fontId="12" fillId="0" borderId="39" xfId="0" applyNumberFormat="1" applyFont="1" applyFill="1" applyBorder="1" applyAlignment="1">
      <alignment vertical="center" wrapText="1"/>
    </xf>
    <xf numFmtId="181" fontId="12" fillId="0" borderId="22" xfId="0" applyNumberFormat="1" applyFont="1" applyFill="1" applyBorder="1" applyAlignment="1">
      <alignment vertical="center"/>
    </xf>
    <xf numFmtId="0" fontId="29" fillId="0" borderId="129" xfId="0" applyFont="1" applyFill="1" applyBorder="1" applyAlignment="1">
      <alignment vertical="center"/>
    </xf>
    <xf numFmtId="41" fontId="12" fillId="0" borderId="0" xfId="49" applyFont="1" applyFill="1" applyBorder="1" applyAlignment="1">
      <alignment horizontal="left" vertical="center"/>
    </xf>
    <xf numFmtId="177" fontId="0" fillId="0" borderId="107" xfId="50" applyNumberFormat="1" applyFill="1" applyBorder="1" applyAlignment="1">
      <alignment horizontal="right" vertical="center"/>
    </xf>
    <xf numFmtId="177" fontId="0" fillId="0" borderId="118" xfId="50" applyNumberFormat="1" applyFill="1" applyBorder="1" applyAlignment="1">
      <alignment horizontal="right" vertical="center"/>
    </xf>
    <xf numFmtId="177" fontId="0" fillId="36" borderId="130" xfId="50" applyNumberFormat="1" applyFont="1" applyFill="1" applyBorder="1" applyAlignment="1">
      <alignment horizontal="right" vertical="center"/>
    </xf>
    <xf numFmtId="41" fontId="37" fillId="0" borderId="44" xfId="50" applyFont="1" applyFill="1" applyBorder="1" applyAlignment="1">
      <alignment horizontal="left" vertical="center"/>
    </xf>
    <xf numFmtId="0" fontId="0" fillId="0" borderId="105" xfId="50" applyNumberFormat="1" applyFont="1" applyFill="1" applyBorder="1" applyAlignment="1">
      <alignment vertical="center" wrapText="1"/>
    </xf>
    <xf numFmtId="0" fontId="0" fillId="0" borderId="105" xfId="0" applyFill="1" applyBorder="1" applyAlignment="1">
      <alignment horizontal="distributed" vertical="center"/>
    </xf>
    <xf numFmtId="180" fontId="0" fillId="0" borderId="131" xfId="50" applyNumberFormat="1" applyFill="1" applyBorder="1" applyAlignment="1">
      <alignment horizontal="right" vertical="center"/>
    </xf>
    <xf numFmtId="181" fontId="25" fillId="0" borderId="38" xfId="0" applyNumberFormat="1" applyFont="1" applyFill="1" applyBorder="1" applyAlignment="1">
      <alignment vertical="center"/>
    </xf>
    <xf numFmtId="181" fontId="25" fillId="0" borderId="39" xfId="0" applyNumberFormat="1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187" fontId="24" fillId="0" borderId="46" xfId="0" applyNumberFormat="1" applyFont="1" applyFill="1" applyBorder="1" applyAlignment="1">
      <alignment vertical="center"/>
    </xf>
    <xf numFmtId="187" fontId="6" fillId="0" borderId="46" xfId="51" applyNumberFormat="1" applyFont="1" applyFill="1" applyBorder="1" applyAlignment="1">
      <alignment vertical="center"/>
    </xf>
    <xf numFmtId="3" fontId="30" fillId="0" borderId="47" xfId="0" applyNumberFormat="1" applyFont="1" applyBorder="1" applyAlignment="1">
      <alignment vertical="center"/>
    </xf>
    <xf numFmtId="181" fontId="30" fillId="0" borderId="48" xfId="0" applyNumberFormat="1" applyFont="1" applyBorder="1" applyAlignment="1">
      <alignment vertical="center"/>
    </xf>
    <xf numFmtId="3" fontId="30" fillId="0" borderId="48" xfId="0" applyNumberFormat="1" applyFont="1" applyBorder="1" applyAlignment="1">
      <alignment vertical="center"/>
    </xf>
    <xf numFmtId="181" fontId="30" fillId="0" borderId="49" xfId="0" applyNumberFormat="1" applyFont="1" applyBorder="1" applyAlignment="1">
      <alignment vertical="center"/>
    </xf>
    <xf numFmtId="0" fontId="19" fillId="0" borderId="90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distributed" vertical="distributed"/>
    </xf>
    <xf numFmtId="0" fontId="6" fillId="0" borderId="32" xfId="0" applyFont="1" applyBorder="1" applyAlignment="1">
      <alignment horizontal="distributed" vertical="distributed"/>
    </xf>
    <xf numFmtId="181" fontId="6" fillId="0" borderId="25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right" vertical="center"/>
    </xf>
    <xf numFmtId="9" fontId="6" fillId="0" borderId="25" xfId="44" applyFont="1" applyBorder="1" applyAlignment="1">
      <alignment horizontal="center" vertical="center"/>
    </xf>
    <xf numFmtId="9" fontId="6" fillId="0" borderId="32" xfId="44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181" fontId="6" fillId="0" borderId="25" xfId="49" applyNumberFormat="1" applyFont="1" applyBorder="1" applyAlignment="1">
      <alignment horizontal="right" vertical="center"/>
    </xf>
    <xf numFmtId="181" fontId="6" fillId="0" borderId="32" xfId="49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181" fontId="11" fillId="0" borderId="91" xfId="0" applyNumberFormat="1" applyFont="1" applyFill="1" applyBorder="1" applyAlignment="1">
      <alignment horizontal="right" vertical="center"/>
    </xf>
    <xf numFmtId="181" fontId="11" fillId="0" borderId="32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horizontal="left" vertical="center"/>
    </xf>
    <xf numFmtId="181" fontId="13" fillId="0" borderId="34" xfId="0" applyNumberFormat="1" applyFont="1" applyFill="1" applyBorder="1" applyAlignment="1">
      <alignment horizontal="right" vertical="center"/>
    </xf>
    <xf numFmtId="181" fontId="13" fillId="0" borderId="35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left" vertical="center" wrapText="1"/>
    </xf>
    <xf numFmtId="3" fontId="12" fillId="0" borderId="38" xfId="0" applyNumberFormat="1" applyFont="1" applyFill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8" fillId="0" borderId="91" xfId="0" applyNumberFormat="1" applyFont="1" applyFill="1" applyBorder="1" applyAlignment="1">
      <alignment horizontal="center" vertical="center"/>
    </xf>
    <xf numFmtId="177" fontId="8" fillId="0" borderId="62" xfId="0" applyNumberFormat="1" applyFont="1" applyFill="1" applyBorder="1" applyAlignment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134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135" xfId="0" applyNumberFormat="1" applyFont="1" applyFill="1" applyBorder="1" applyAlignment="1">
      <alignment horizontal="center" vertical="center"/>
    </xf>
    <xf numFmtId="181" fontId="48" fillId="0" borderId="34" xfId="0" applyNumberFormat="1" applyFont="1" applyFill="1" applyBorder="1" applyAlignment="1">
      <alignment horizontal="right" vertical="center"/>
    </xf>
    <xf numFmtId="181" fontId="48" fillId="0" borderId="35" xfId="0" applyNumberFormat="1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187" fontId="24" fillId="0" borderId="25" xfId="0" applyNumberFormat="1" applyFont="1" applyFill="1" applyBorder="1" applyAlignment="1">
      <alignment horizontal="right" vertical="center"/>
    </xf>
    <xf numFmtId="187" fontId="24" fillId="0" borderId="32" xfId="0" applyNumberFormat="1" applyFont="1" applyFill="1" applyBorder="1" applyAlignment="1">
      <alignment horizontal="right" vertical="center"/>
    </xf>
    <xf numFmtId="187" fontId="6" fillId="0" borderId="25" xfId="51" applyNumberFormat="1" applyFont="1" applyFill="1" applyBorder="1" applyAlignment="1">
      <alignment horizontal="right" vertical="center"/>
    </xf>
    <xf numFmtId="187" fontId="6" fillId="0" borderId="32" xfId="51" applyNumberFormat="1" applyFont="1" applyFill="1" applyBorder="1" applyAlignment="1">
      <alignment horizontal="right" vertical="center"/>
    </xf>
    <xf numFmtId="41" fontId="24" fillId="0" borderId="136" xfId="49" applyFont="1" applyFill="1" applyBorder="1" applyAlignment="1">
      <alignment horizontal="center" vertical="center"/>
    </xf>
    <xf numFmtId="41" fontId="24" fillId="0" borderId="74" xfId="49" applyFont="1" applyFill="1" applyBorder="1" applyAlignment="1">
      <alignment horizontal="center" vertical="center"/>
    </xf>
    <xf numFmtId="41" fontId="24" fillId="0" borderId="92" xfId="49" applyFont="1" applyFill="1" applyBorder="1" applyAlignment="1">
      <alignment horizontal="center" vertical="center"/>
    </xf>
    <xf numFmtId="41" fontId="24" fillId="0" borderId="0" xfId="49" applyFont="1" applyFill="1" applyAlignment="1">
      <alignment horizontal="left" vertical="center"/>
    </xf>
    <xf numFmtId="181" fontId="48" fillId="0" borderId="27" xfId="0" applyNumberFormat="1" applyFont="1" applyFill="1" applyBorder="1" applyAlignment="1">
      <alignment horizontal="right" vertical="center"/>
    </xf>
    <xf numFmtId="181" fontId="48" fillId="0" borderId="36" xfId="0" applyNumberFormat="1" applyFont="1" applyFill="1" applyBorder="1" applyAlignment="1">
      <alignment horizontal="right" vertical="center"/>
    </xf>
    <xf numFmtId="176" fontId="26" fillId="0" borderId="91" xfId="0" applyNumberFormat="1" applyFont="1" applyFill="1" applyBorder="1" applyAlignment="1">
      <alignment horizontal="center" vertical="center"/>
    </xf>
    <xf numFmtId="176" fontId="26" fillId="0" borderId="62" xfId="0" applyNumberFormat="1" applyFont="1" applyFill="1" applyBorder="1" applyAlignment="1">
      <alignment horizontal="center" vertical="center"/>
    </xf>
    <xf numFmtId="3" fontId="26" fillId="0" borderId="91" xfId="0" applyNumberFormat="1" applyFont="1" applyFill="1" applyBorder="1" applyAlignment="1">
      <alignment horizontal="center" vertical="center"/>
    </xf>
    <xf numFmtId="3" fontId="26" fillId="0" borderId="134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3" fontId="26" fillId="0" borderId="135" xfId="0" applyNumberFormat="1" applyFont="1" applyFill="1" applyBorder="1" applyAlignment="1">
      <alignment horizontal="center" vertical="center"/>
    </xf>
    <xf numFmtId="177" fontId="24" fillId="0" borderId="55" xfId="0" applyNumberFormat="1" applyFont="1" applyFill="1" applyBorder="1" applyAlignment="1">
      <alignment horizontal="center" vertical="center"/>
    </xf>
    <xf numFmtId="0" fontId="19" fillId="0" borderId="90" xfId="0" applyFont="1" applyBorder="1" applyAlignment="1">
      <alignment vertical="center" wrapText="1"/>
    </xf>
    <xf numFmtId="0" fontId="19" fillId="0" borderId="82" xfId="0" applyFont="1" applyBorder="1" applyAlignment="1">
      <alignment vertical="center" wrapText="1"/>
    </xf>
    <xf numFmtId="181" fontId="12" fillId="0" borderId="17" xfId="49" applyNumberFormat="1" applyFont="1" applyFill="1" applyBorder="1" applyAlignment="1">
      <alignment horizontal="right" vertical="center"/>
    </xf>
    <xf numFmtId="181" fontId="12" fillId="0" borderId="18" xfId="49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distributed"/>
    </xf>
    <xf numFmtId="0" fontId="6" fillId="0" borderId="32" xfId="0" applyFont="1" applyBorder="1" applyAlignment="1">
      <alignment horizontal="center" vertical="distributed"/>
    </xf>
    <xf numFmtId="181" fontId="6" fillId="0" borderId="25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91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41" fontId="35" fillId="0" borderId="91" xfId="50" applyFont="1" applyFill="1" applyBorder="1" applyAlignment="1">
      <alignment horizontal="center" vertical="center" wrapText="1"/>
    </xf>
    <xf numFmtId="41" fontId="35" fillId="0" borderId="62" xfId="50" applyFont="1" applyFill="1" applyBorder="1" applyAlignment="1">
      <alignment horizontal="center" vertical="center" wrapText="1"/>
    </xf>
    <xf numFmtId="0" fontId="35" fillId="0" borderId="137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0" fillId="36" borderId="136" xfId="0" applyFill="1" applyBorder="1" applyAlignment="1">
      <alignment horizontal="center" vertical="center" wrapText="1"/>
    </xf>
    <xf numFmtId="0" fontId="0" fillId="36" borderId="92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left" vertical="center"/>
    </xf>
    <xf numFmtId="41" fontId="0" fillId="0" borderId="91" xfId="0" applyNumberFormat="1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36" borderId="136" xfId="0" applyFont="1" applyFill="1" applyBorder="1" applyAlignment="1">
      <alignment horizontal="center" vertical="center" wrapText="1"/>
    </xf>
    <xf numFmtId="0" fontId="0" fillId="0" borderId="134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36" borderId="136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176" fontId="8" fillId="0" borderId="91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41" fontId="8" fillId="0" borderId="91" xfId="49" applyFont="1" applyFill="1" applyBorder="1" applyAlignment="1">
      <alignment horizontal="center" vertical="center"/>
    </xf>
    <xf numFmtId="41" fontId="8" fillId="0" borderId="62" xfId="49" applyFon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내부기안" xfId="62"/>
    <cellStyle name="콤마_내부기안" xfId="63"/>
    <cellStyle name="Currency" xfId="64"/>
    <cellStyle name="Currency [0]" xfId="65"/>
    <cellStyle name="표준 2" xfId="66"/>
    <cellStyle name="표준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66675</xdr:rowOff>
    </xdr:from>
    <xdr:to>
      <xdr:col>3</xdr:col>
      <xdr:colOff>638175</xdr:colOff>
      <xdr:row>6</xdr:row>
      <xdr:rowOff>781050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2895600"/>
          <a:ext cx="1762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수가인상율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전년대비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   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점수당단가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-2020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(1.74%)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  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76.2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(1.90%)              74.9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-2018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(1.66%)              73.5 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-2017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(1.83%)              72.3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-2016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(1.42%)              71.0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-2015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(1.74%)              70.0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-2014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(1.92%)              68.8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-2013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(2.27%)              67.5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-2012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(1.69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              66.0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-2011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(0.93%)              64.9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(1.42%)              64.3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-2009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(1.93%)              63.4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-2008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(0.16%)              62.2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66675</xdr:rowOff>
    </xdr:from>
    <xdr:to>
      <xdr:col>3</xdr:col>
      <xdr:colOff>638175</xdr:colOff>
      <xdr:row>6</xdr:row>
      <xdr:rowOff>781050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2895600"/>
          <a:ext cx="1762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수가인상율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전년대비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   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점수당단가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-2020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(1.74%)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  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76.2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(1.90%)              74.9 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-2018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(1.66%)              73.5 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-2017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(1.83%)              72.3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-2016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(1.42%)              71.0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-2015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(1.74%)              70.0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-2014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(1.92%)              68.8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-2013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(2.27%)              67.5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-2012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(1.69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              66.0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-2011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(0.93%)              64.9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-2010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(1.42%)              64.3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-2009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(1.93%)              63.4
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-2008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8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(0.16%)              62.2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733;&#51012;&#51648;(&#54617;&#44368;&#50629;&#47924;)\&#9733;&#54617;&#44368;&#48277;&#51064;%20&#50672;&#46020;&#48324;%20&#52628;&#44221;&#50696;&#49328;%20&#48143;%20&#50696;&#49328;&#51088;&#47308;\2020&#45380;&#52628;&#44221;%202021&#45380;&#50696;&#49328;\&#45824;&#54617;&#48337;&#50896;(2020)\2020&#45380;&#52628;&#44032;&#44221;&#51221;&#50696;&#49328;&#49436;(&#45824;&#51204;)_12.21(&#48512;&#51109;&#45784;&#54869;&#51064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733;&#51012;&#51648;(&#54617;&#44368;&#50629;&#47924;)\&#9733;&#54617;&#44368;&#48277;&#51064;%20&#50672;&#46020;&#48324;%20&#52628;&#44221;&#50696;&#49328;%20&#48143;%20&#50696;&#49328;&#51088;&#47308;\2020&#45380;&#52628;&#44221;%202021&#45380;&#50696;&#49328;\&#45824;&#54617;&#48337;&#50896;(2020)\&#9733;2019&#45380;&#52628;&#44032;&#44221;&#51221;&#50696;&#49328;&#49436;(&#51032;&#51221;&#48512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733;&#51012;&#51648;(&#54617;&#44368;&#50629;&#47924;)\&#9733;&#54617;&#44368;&#48277;&#51064;%20&#50672;&#46020;&#48324;%20&#52628;&#44221;&#50696;&#49328;%20&#48143;%20&#50696;&#49328;&#51088;&#47308;\2020&#45380;&#52628;&#44221;%202021&#45380;&#50696;&#49328;\&#45824;&#54617;&#48337;&#50896;(2020)\2020&#45380;&#50696;&#49328;&#45824;&#48708;&#49892;&#51201;(12.17)%201&#52264;%20(&#45824;&#5120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Temporary%20Internet%20Files\Content.IE5\D2DIUMT8\2017&#45380;&#50696;&#49328;&#45824;&#48708;&#49892;&#51201;(12.31)&#52572;&#513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Temporary%20Internet%20Files\Content.IE5\D2DIUMT8\2018&#52628;&#44221;&#50696;&#49328;&#49436;-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733;&#51012;&#51648;(&#54617;&#44368;&#50629;&#47924;)\&#9733;&#54617;&#44368;&#48277;&#51064;%20&#50672;&#46020;&#48324;%20&#52628;&#44221;&#50696;&#49328;%20&#48143;%20&#50696;&#49328;&#51088;&#47308;\2020&#45380;&#52628;&#44221;%202021&#45380;&#50696;&#49328;\&#45824;&#54617;&#48337;&#50896;(2020)\2018&#45380;%20&#52628;&#44221;%20&#48143;%202019&#45380;%20&#48376;&#50696;&#49328;&#54200;&#49457;\2019&#45380;%20&#52628;&#44221;\2019&#45380;&#50696;&#49328;&#45824;&#48708;&#49892;&#51201;(11.20)&#52572;&#513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45824;&#51204;&#51012;&#51648;&#45824;&#54617;&#44368;&#48337;&#50896;\&#44208;&#49328;&#48143;&#52628;&#44221;\&#52628;&#44221;&#50696;&#49328;\2019&#45380;\2020&#45380;&#50696;&#49328;&#49436;(&#45824;&#512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총칙"/>
      <sheetName val="총괄표"/>
      <sheetName val="수입"/>
      <sheetName val="지출"/>
      <sheetName val="Sheet3"/>
      <sheetName val="20년 추경수입"/>
      <sheetName val="20년 추경지출"/>
      <sheetName val="2020년예산수입"/>
      <sheetName val="2020년예산지출"/>
    </sheetNames>
    <sheetDataSet>
      <sheetData sheetId="2">
        <row r="105">
          <cell r="C105">
            <v>121447947840</v>
          </cell>
          <cell r="D105">
            <v>87867496560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총칙"/>
      <sheetName val="총괄표(합산)"/>
      <sheetName val="수입(합산)"/>
      <sheetName val="지출(합산)"/>
      <sheetName val="총괄표(대전)"/>
      <sheetName val="수입(대전)"/>
      <sheetName val="지출(대전)"/>
      <sheetName val="19년 추경수입 (대전)"/>
      <sheetName val="19년 추경지출(대전)"/>
      <sheetName val="총괄표(의정부)"/>
      <sheetName val="수입 (의정부)"/>
      <sheetName val="지출 (의정부)"/>
      <sheetName val="19년 추경수입(의정부)"/>
      <sheetName val="19년 추경지출(의정부)"/>
      <sheetName val="Sheet3"/>
    </sheetNames>
    <sheetDataSet>
      <sheetData sheetId="10">
        <row r="61">
          <cell r="D61">
            <v>3293000000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년 추경수입"/>
      <sheetName val="20년 추경지출"/>
      <sheetName val="월별지출(확인용"/>
      <sheetName val="ocs계정별"/>
      <sheetName val="2019년 본예산수입"/>
      <sheetName val="2019년 본예산지출"/>
      <sheetName val="20년 추경수입 (대전+의정부)"/>
      <sheetName val="20년 추경지출(대전+의정부)"/>
    </sheetNames>
    <sheetDataSet>
      <sheetData sheetId="2">
        <row r="17">
          <cell r="O17">
            <v>20816185172</v>
          </cell>
        </row>
        <row r="18">
          <cell r="O18">
            <v>4616608446</v>
          </cell>
        </row>
        <row r="19">
          <cell r="O19">
            <v>18598385794</v>
          </cell>
        </row>
        <row r="20">
          <cell r="O20">
            <v>1963266266.25</v>
          </cell>
        </row>
        <row r="21">
          <cell r="O21">
            <v>0</v>
          </cell>
          <cell r="S21">
            <v>30000000</v>
          </cell>
        </row>
        <row r="22">
          <cell r="O22">
            <v>4030600850</v>
          </cell>
        </row>
        <row r="25">
          <cell r="O25">
            <v>93398900</v>
          </cell>
          <cell r="S25">
            <v>405719275</v>
          </cell>
        </row>
        <row r="36">
          <cell r="O36">
            <v>6513032702</v>
          </cell>
        </row>
        <row r="57">
          <cell r="O57">
            <v>13916991.625</v>
          </cell>
        </row>
        <row r="60">
          <cell r="O60">
            <v>24065779.875</v>
          </cell>
        </row>
        <row r="65">
          <cell r="O65">
            <v>266633983.75</v>
          </cell>
        </row>
        <row r="68">
          <cell r="O68">
            <v>123748003</v>
          </cell>
        </row>
        <row r="70">
          <cell r="O70">
            <v>439994586.375</v>
          </cell>
        </row>
        <row r="72">
          <cell r="O72">
            <v>1626808964.5</v>
          </cell>
        </row>
        <row r="75">
          <cell r="O75">
            <v>117265790.375</v>
          </cell>
        </row>
        <row r="78">
          <cell r="O78">
            <v>1206096987</v>
          </cell>
        </row>
        <row r="87">
          <cell r="O87">
            <v>1229975365</v>
          </cell>
        </row>
        <row r="92">
          <cell r="O92">
            <v>548137522</v>
          </cell>
        </row>
        <row r="98">
          <cell r="O98">
            <v>214180666.875</v>
          </cell>
        </row>
        <row r="103">
          <cell r="O103">
            <v>40361225</v>
          </cell>
        </row>
        <row r="105">
          <cell r="O105">
            <v>306192710</v>
          </cell>
        </row>
        <row r="107">
          <cell r="O107">
            <v>0</v>
          </cell>
          <cell r="S107">
            <v>0</v>
          </cell>
        </row>
        <row r="108">
          <cell r="O108">
            <v>0</v>
          </cell>
        </row>
        <row r="128">
          <cell r="S128">
            <v>600000874</v>
          </cell>
        </row>
        <row r="130">
          <cell r="S130">
            <v>600358656</v>
          </cell>
        </row>
        <row r="134">
          <cell r="O134">
            <v>0</v>
          </cell>
        </row>
        <row r="137">
          <cell r="S137">
            <v>310000000</v>
          </cell>
        </row>
        <row r="143">
          <cell r="O143">
            <v>0</v>
          </cell>
        </row>
        <row r="153">
          <cell r="O153">
            <v>0</v>
          </cell>
        </row>
        <row r="156">
          <cell r="O156">
            <v>0</v>
          </cell>
        </row>
        <row r="161">
          <cell r="O161">
            <v>0</v>
          </cell>
          <cell r="S161">
            <v>0</v>
          </cell>
        </row>
        <row r="162">
          <cell r="O162">
            <v>0</v>
          </cell>
          <cell r="S162">
            <v>0</v>
          </cell>
        </row>
        <row r="200">
          <cell r="S200">
            <v>0</v>
          </cell>
        </row>
        <row r="201">
          <cell r="S201">
            <v>0</v>
          </cell>
        </row>
        <row r="203">
          <cell r="S203">
            <v>0</v>
          </cell>
        </row>
        <row r="204">
          <cell r="O204">
            <v>0</v>
          </cell>
          <cell r="S204">
            <v>0</v>
          </cell>
        </row>
        <row r="205">
          <cell r="O205">
            <v>0</v>
          </cell>
          <cell r="S205">
            <v>0</v>
          </cell>
        </row>
      </sheetData>
      <sheetData sheetId="4">
        <row r="9">
          <cell r="C9">
            <v>128333503439.54001</v>
          </cell>
        </row>
        <row r="28">
          <cell r="C28">
            <v>70458000000</v>
          </cell>
        </row>
        <row r="47">
          <cell r="C47">
            <v>9360000000</v>
          </cell>
        </row>
        <row r="55">
          <cell r="C55">
            <v>2045000000</v>
          </cell>
        </row>
        <row r="65">
          <cell r="C65">
            <v>3372000000</v>
          </cell>
        </row>
        <row r="67">
          <cell r="C67">
            <v>2800000000</v>
          </cell>
        </row>
        <row r="70">
          <cell r="C70">
            <v>1800000000</v>
          </cell>
        </row>
      </sheetData>
      <sheetData sheetId="5">
        <row r="16">
          <cell r="C16">
            <v>26352800000</v>
          </cell>
        </row>
        <row r="17">
          <cell r="C17">
            <v>7272000000</v>
          </cell>
        </row>
        <row r="18">
          <cell r="C18">
            <v>26530200000</v>
          </cell>
        </row>
        <row r="19">
          <cell r="C19">
            <v>6516000000</v>
          </cell>
        </row>
        <row r="20">
          <cell r="C20">
            <v>30000000</v>
          </cell>
        </row>
        <row r="21">
          <cell r="C21">
            <v>595000000</v>
          </cell>
        </row>
        <row r="24">
          <cell r="C24">
            <v>500000000</v>
          </cell>
        </row>
        <row r="28">
          <cell r="C28">
            <v>3737000000</v>
          </cell>
        </row>
        <row r="34">
          <cell r="C34">
            <v>9436000000</v>
          </cell>
        </row>
        <row r="41">
          <cell r="C41">
            <v>53000000</v>
          </cell>
        </row>
        <row r="42">
          <cell r="C42">
            <v>62000000</v>
          </cell>
        </row>
        <row r="49">
          <cell r="C49">
            <v>170000000</v>
          </cell>
        </row>
        <row r="52">
          <cell r="C52">
            <v>171000000</v>
          </cell>
        </row>
        <row r="57">
          <cell r="C57">
            <v>840000000</v>
          </cell>
        </row>
        <row r="60">
          <cell r="C60">
            <v>429000000</v>
          </cell>
        </row>
        <row r="61">
          <cell r="C61">
            <v>1040000000</v>
          </cell>
        </row>
        <row r="62">
          <cell r="C62">
            <v>2587000000</v>
          </cell>
        </row>
        <row r="65">
          <cell r="C65">
            <v>215000000</v>
          </cell>
        </row>
        <row r="68">
          <cell r="C68">
            <v>2279000000</v>
          </cell>
        </row>
        <row r="76">
          <cell r="C76">
            <v>1745000000</v>
          </cell>
        </row>
        <row r="81">
          <cell r="C81">
            <v>757000000</v>
          </cell>
        </row>
        <row r="87">
          <cell r="C87">
            <v>560000000</v>
          </cell>
        </row>
        <row r="95">
          <cell r="C95">
            <v>120000000</v>
          </cell>
        </row>
        <row r="96">
          <cell r="C96">
            <v>472000000</v>
          </cell>
        </row>
        <row r="99">
          <cell r="C99">
            <v>42000000</v>
          </cell>
        </row>
        <row r="101">
          <cell r="C101">
            <v>32000000000</v>
          </cell>
        </row>
        <row r="104">
          <cell r="C104">
            <v>18401000000</v>
          </cell>
        </row>
        <row r="111">
          <cell r="C111">
            <v>10000000000</v>
          </cell>
        </row>
        <row r="114">
          <cell r="C114">
            <v>1610000000</v>
          </cell>
        </row>
        <row r="115">
          <cell r="C115">
            <v>2075000000</v>
          </cell>
        </row>
        <row r="116">
          <cell r="C116">
            <v>2075000000</v>
          </cell>
        </row>
        <row r="119">
          <cell r="C119">
            <v>1265000000</v>
          </cell>
        </row>
        <row r="125">
          <cell r="C125">
            <v>500000000</v>
          </cell>
        </row>
        <row r="126">
          <cell r="C126">
            <v>3000000000</v>
          </cell>
        </row>
        <row r="130">
          <cell r="C130">
            <v>5500000000</v>
          </cell>
        </row>
        <row r="135">
          <cell r="C135">
            <v>6710000000</v>
          </cell>
        </row>
        <row r="154">
          <cell r="C154">
            <v>1200000000</v>
          </cell>
        </row>
        <row r="155">
          <cell r="C155">
            <v>6000000000</v>
          </cell>
        </row>
        <row r="158">
          <cell r="C158">
            <v>5100000000</v>
          </cell>
        </row>
        <row r="162">
          <cell r="C162">
            <v>0</v>
          </cell>
        </row>
        <row r="163">
          <cell r="C163">
            <v>1000000</v>
          </cell>
        </row>
        <row r="165">
          <cell r="C165">
            <v>1500000000</v>
          </cell>
        </row>
        <row r="181">
          <cell r="C181">
            <v>103587999999.54004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지출(확인용"/>
      <sheetName val="Sheet1"/>
    </sheetNames>
    <sheetDataSet>
      <sheetData sheetId="0">
        <row r="156">
          <cell r="E156">
            <v>5000000000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수입"/>
      <sheetName val="지출"/>
      <sheetName val="Sheet1"/>
    </sheetNames>
    <sheetDataSet>
      <sheetData sheetId="0">
        <row r="6">
          <cell r="D6">
            <v>211720000000</v>
          </cell>
        </row>
        <row r="7">
          <cell r="D7">
            <v>211720000000</v>
          </cell>
        </row>
        <row r="8">
          <cell r="D8">
            <v>135030000000</v>
          </cell>
        </row>
        <row r="9">
          <cell r="D9">
            <v>65940000000</v>
          </cell>
        </row>
        <row r="10">
          <cell r="D10">
            <v>10750000000</v>
          </cell>
        </row>
        <row r="11">
          <cell r="D11">
            <v>2160000000</v>
          </cell>
        </row>
        <row r="12">
          <cell r="D12">
            <v>0</v>
          </cell>
        </row>
        <row r="13">
          <cell r="D1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년 추경수입"/>
      <sheetName val="19년 추경지출"/>
      <sheetName val="월별지출(확인용"/>
      <sheetName val="ocs계정별"/>
      <sheetName val="2019년 본예산수입"/>
      <sheetName val="2019년 본예산지출"/>
    </sheetNames>
    <sheetDataSet>
      <sheetData sheetId="2">
        <row r="55">
          <cell r="O55">
            <v>0</v>
          </cell>
          <cell r="S55">
            <v>0</v>
          </cell>
        </row>
        <row r="134">
          <cell r="O134">
            <v>0</v>
          </cell>
        </row>
        <row r="156">
          <cell r="O156">
            <v>0</v>
          </cell>
          <cell r="S156">
            <v>0</v>
          </cell>
        </row>
        <row r="161">
          <cell r="O161">
            <v>0</v>
          </cell>
          <cell r="S161">
            <v>0</v>
          </cell>
        </row>
        <row r="162">
          <cell r="O162">
            <v>0</v>
          </cell>
          <cell r="S162">
            <v>0</v>
          </cell>
        </row>
        <row r="167">
          <cell r="S167">
            <v>0</v>
          </cell>
        </row>
        <row r="200">
          <cell r="S200">
            <v>0</v>
          </cell>
        </row>
        <row r="201">
          <cell r="S201">
            <v>0</v>
          </cell>
        </row>
        <row r="203">
          <cell r="S203">
            <v>0</v>
          </cell>
        </row>
        <row r="204">
          <cell r="O204">
            <v>0</v>
          </cell>
          <cell r="S204">
            <v>0</v>
          </cell>
        </row>
        <row r="205">
          <cell r="O205">
            <v>0</v>
          </cell>
          <cell r="S205">
            <v>0</v>
          </cell>
        </row>
      </sheetData>
      <sheetData sheetId="5">
        <row r="9">
          <cell r="C9">
            <v>7800000000</v>
          </cell>
        </row>
        <row r="165">
          <cell r="C16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총칙"/>
      <sheetName val="총괄표"/>
      <sheetName val="수입"/>
      <sheetName val="지출"/>
      <sheetName val="Sheet2"/>
      <sheetName val="Sheet1"/>
    </sheetNames>
    <sheetDataSet>
      <sheetData sheetId="1">
        <row r="4">
          <cell r="C4" t="str">
            <v>2020년 예산</v>
          </cell>
          <cell r="D4" t="str">
            <v>2019년 예산</v>
          </cell>
        </row>
      </sheetData>
      <sheetData sheetId="2">
        <row r="3">
          <cell r="A3" t="str">
            <v>◎ 대전을지대학교병원</v>
          </cell>
        </row>
        <row r="5">
          <cell r="C5" t="str">
            <v>2020년 예산</v>
          </cell>
          <cell r="D5" t="str">
            <v>2019년 예산</v>
          </cell>
        </row>
        <row r="107">
          <cell r="C107">
            <v>306035999999.54004</v>
          </cell>
          <cell r="D107">
            <v>368103000000</v>
          </cell>
        </row>
      </sheetData>
      <sheetData sheetId="3">
        <row r="181">
          <cell r="D181">
            <v>87867496560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7" sqref="A37"/>
    </sheetView>
  </sheetViews>
  <sheetFormatPr defaultColWidth="8.88671875" defaultRowHeight="13.5"/>
  <cols>
    <col min="1" max="1" width="74.3359375" style="92" customWidth="1"/>
    <col min="2" max="2" width="9.5546875" style="92" bestFit="1" customWidth="1"/>
    <col min="3" max="16384" width="8.88671875" style="92" customWidth="1"/>
  </cols>
  <sheetData>
    <row r="1" ht="49.5" customHeight="1">
      <c r="A1" s="96" t="s">
        <v>1055</v>
      </c>
    </row>
    <row r="2" ht="15" customHeight="1">
      <c r="A2" s="97" t="s">
        <v>1150</v>
      </c>
    </row>
    <row r="3" ht="7.5" customHeight="1"/>
    <row r="4" ht="15" customHeight="1">
      <c r="A4" s="97" t="s">
        <v>1054</v>
      </c>
    </row>
    <row r="5" ht="15" customHeight="1">
      <c r="A5" s="92" t="s">
        <v>1053</v>
      </c>
    </row>
    <row r="6" ht="15" customHeight="1">
      <c r="A6" s="92" t="s">
        <v>1052</v>
      </c>
    </row>
    <row r="7" ht="15" customHeight="1">
      <c r="A7" s="92" t="s">
        <v>1051</v>
      </c>
    </row>
    <row r="8" ht="7.5" customHeight="1"/>
    <row r="9" ht="15" customHeight="1">
      <c r="A9" s="97" t="s">
        <v>1050</v>
      </c>
    </row>
    <row r="10" ht="15" customHeight="1">
      <c r="A10" s="97" t="s">
        <v>1049</v>
      </c>
    </row>
    <row r="11" spans="1:8" s="831" customFormat="1" ht="15" customHeight="1">
      <c r="A11" s="831" t="s">
        <v>1151</v>
      </c>
      <c r="H11" s="848"/>
    </row>
    <row r="12" spans="1:8" s="831" customFormat="1" ht="15" customHeight="1">
      <c r="A12" s="831" t="s">
        <v>1048</v>
      </c>
      <c r="H12" s="848"/>
    </row>
    <row r="13" spans="1:8" s="831" customFormat="1" ht="15" customHeight="1">
      <c r="A13" s="831" t="s">
        <v>1152</v>
      </c>
      <c r="H13" s="848"/>
    </row>
    <row r="14" spans="1:8" s="831" customFormat="1" ht="15" customHeight="1">
      <c r="A14" s="831" t="s">
        <v>1047</v>
      </c>
      <c r="H14" s="848"/>
    </row>
    <row r="15" spans="1:8" s="831" customFormat="1" ht="15" customHeight="1">
      <c r="A15" s="831" t="s">
        <v>1077</v>
      </c>
      <c r="H15" s="848"/>
    </row>
    <row r="16" spans="1:8" s="831" customFormat="1" ht="15" customHeight="1">
      <c r="A16" s="831" t="s">
        <v>1078</v>
      </c>
      <c r="H16" s="848"/>
    </row>
    <row r="17" spans="1:8" s="831" customFormat="1" ht="15" customHeight="1">
      <c r="A17" s="831" t="s">
        <v>1079</v>
      </c>
      <c r="H17" s="848"/>
    </row>
    <row r="18" spans="1:8" ht="15" customHeight="1">
      <c r="A18" s="92" t="s">
        <v>1154</v>
      </c>
      <c r="H18" s="98"/>
    </row>
    <row r="19" ht="15" customHeight="1">
      <c r="A19" s="92" t="s">
        <v>1153</v>
      </c>
    </row>
    <row r="20" spans="1:8" ht="15" customHeight="1">
      <c r="A20" s="92" t="s">
        <v>1176</v>
      </c>
      <c r="H20" s="98"/>
    </row>
    <row r="21" ht="7.5" customHeight="1"/>
    <row r="22" ht="15" customHeight="1">
      <c r="A22" s="97" t="s">
        <v>1046</v>
      </c>
    </row>
    <row r="23" ht="15" customHeight="1">
      <c r="A23" s="92" t="s">
        <v>1155</v>
      </c>
    </row>
    <row r="24" ht="15" customHeight="1">
      <c r="A24" s="92" t="s">
        <v>1156</v>
      </c>
    </row>
    <row r="25" ht="15" customHeight="1">
      <c r="A25" s="92" t="s">
        <v>1157</v>
      </c>
    </row>
    <row r="26" ht="15" customHeight="1">
      <c r="A26" s="92" t="s">
        <v>1158</v>
      </c>
    </row>
    <row r="27" ht="15" customHeight="1">
      <c r="A27" s="92" t="s">
        <v>1159</v>
      </c>
    </row>
    <row r="28" ht="15" customHeight="1">
      <c r="A28" s="92" t="s">
        <v>1160</v>
      </c>
    </row>
    <row r="29" ht="15" customHeight="1">
      <c r="A29" s="92" t="s">
        <v>1045</v>
      </c>
    </row>
    <row r="30" ht="15" customHeight="1">
      <c r="A30" s="92" t="s">
        <v>1044</v>
      </c>
    </row>
    <row r="31" ht="15" customHeight="1">
      <c r="A31" s="92" t="s">
        <v>1043</v>
      </c>
    </row>
    <row r="32" s="831" customFormat="1" ht="15" customHeight="1">
      <c r="A32" s="831" t="s">
        <v>1163</v>
      </c>
    </row>
    <row r="33" s="831" customFormat="1" ht="15" customHeight="1">
      <c r="A33" s="831" t="s">
        <v>1164</v>
      </c>
    </row>
    <row r="34" ht="15" customHeight="1">
      <c r="A34" s="92" t="s">
        <v>1165</v>
      </c>
    </row>
    <row r="35" s="831" customFormat="1" ht="15" customHeight="1">
      <c r="A35" s="831" t="s">
        <v>1166</v>
      </c>
    </row>
    <row r="36" ht="15" customHeight="1">
      <c r="A36" s="92" t="s">
        <v>1175</v>
      </c>
    </row>
    <row r="37" ht="15" customHeight="1">
      <c r="A37" s="92" t="s">
        <v>1167</v>
      </c>
    </row>
    <row r="38" ht="15" customHeight="1">
      <c r="A38" s="92" t="s">
        <v>1168</v>
      </c>
    </row>
    <row r="39" ht="15" customHeight="1">
      <c r="A39" s="831" t="s">
        <v>1042</v>
      </c>
    </row>
    <row r="40" ht="15" customHeight="1">
      <c r="A40" s="831" t="s">
        <v>1041</v>
      </c>
    </row>
    <row r="41" ht="15" customHeight="1">
      <c r="A41" s="831" t="s">
        <v>1040</v>
      </c>
    </row>
    <row r="42" ht="15" customHeight="1">
      <c r="A42" s="831" t="s">
        <v>1039</v>
      </c>
    </row>
    <row r="43" ht="15" customHeight="1">
      <c r="A43" s="831" t="s">
        <v>1038</v>
      </c>
    </row>
    <row r="44" ht="15" customHeight="1">
      <c r="A44" s="831" t="s">
        <v>1037</v>
      </c>
    </row>
    <row r="45" ht="15" customHeight="1">
      <c r="A45" s="831" t="s">
        <v>1036</v>
      </c>
    </row>
    <row r="46" ht="15" customHeight="1">
      <c r="A46" s="831" t="s">
        <v>1035</v>
      </c>
    </row>
    <row r="47" ht="15" customHeight="1">
      <c r="A47" s="831" t="s">
        <v>1034</v>
      </c>
    </row>
    <row r="48" ht="15" customHeight="1">
      <c r="A48" s="831" t="s">
        <v>1161</v>
      </c>
    </row>
    <row r="49" ht="15" customHeight="1">
      <c r="A49" s="92" t="s">
        <v>1169</v>
      </c>
    </row>
    <row r="50" ht="15" customHeight="1">
      <c r="A50" s="92" t="s">
        <v>1170</v>
      </c>
    </row>
    <row r="51" ht="15" customHeight="1">
      <c r="A51" s="92" t="s">
        <v>1177</v>
      </c>
    </row>
    <row r="52" ht="15" customHeight="1">
      <c r="A52" s="92" t="s">
        <v>1171</v>
      </c>
    </row>
    <row r="53" ht="15" customHeight="1">
      <c r="A53" s="92" t="s">
        <v>1172</v>
      </c>
    </row>
    <row r="54" ht="15" customHeight="1">
      <c r="A54" s="92" t="s">
        <v>1173</v>
      </c>
    </row>
    <row r="55" ht="15" customHeight="1">
      <c r="A55" s="92" t="s">
        <v>1174</v>
      </c>
    </row>
    <row r="56" ht="15" customHeight="1">
      <c r="A56" s="97" t="s">
        <v>1162</v>
      </c>
    </row>
    <row r="61" ht="13.5">
      <c r="A61" s="536"/>
    </row>
    <row r="62" ht="13.5">
      <c r="A62" s="536"/>
    </row>
    <row r="63" ht="13.5">
      <c r="A63" s="536"/>
    </row>
    <row r="64" ht="13.5">
      <c r="A64" s="536"/>
    </row>
    <row r="65" ht="13.5">
      <c r="A65" s="536"/>
    </row>
    <row r="66" ht="13.5">
      <c r="A66" s="536"/>
    </row>
    <row r="67" ht="13.5">
      <c r="A67" s="536"/>
    </row>
    <row r="68" ht="13.5">
      <c r="A68" s="577"/>
    </row>
    <row r="69" ht="13.5">
      <c r="A69" s="536"/>
    </row>
    <row r="70" ht="13.5">
      <c r="A70" s="536"/>
    </row>
  </sheetData>
  <sheetProtection/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view="pageBreakPreview" zoomScale="90" zoomScaleSheetLayoutView="90" zoomScalePageLayoutView="0" workbookViewId="0" topLeftCell="A1">
      <pane xSplit="2" ySplit="4" topLeftCell="C95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26" sqref="B126"/>
    </sheetView>
  </sheetViews>
  <sheetFormatPr defaultColWidth="8.88671875" defaultRowHeight="13.5"/>
  <cols>
    <col min="1" max="1" width="17.99609375" style="143" customWidth="1"/>
    <col min="2" max="2" width="17.6640625" style="143" customWidth="1"/>
    <col min="3" max="5" width="19.3359375" style="144" customWidth="1"/>
    <col min="6" max="6" width="14.99609375" style="143" customWidth="1"/>
    <col min="7" max="7" width="9.77734375" style="144" customWidth="1"/>
    <col min="8" max="8" width="7.77734375" style="143" customWidth="1"/>
    <col min="9" max="9" width="16.10546875" style="143" bestFit="1" customWidth="1"/>
    <col min="10" max="10" width="14.4453125" style="145" hidden="1" customWidth="1"/>
    <col min="11" max="11" width="12.99609375" style="146" hidden="1" customWidth="1"/>
    <col min="12" max="12" width="15.4453125" style="146" bestFit="1" customWidth="1"/>
    <col min="13" max="13" width="18.5546875" style="143" customWidth="1"/>
    <col min="14" max="14" width="10.21484375" style="146" customWidth="1"/>
    <col min="15" max="15" width="18.88671875" style="143" customWidth="1"/>
    <col min="16" max="16" width="14.21484375" style="143" customWidth="1"/>
    <col min="17" max="17" width="11.77734375" style="143" customWidth="1"/>
    <col min="18" max="16384" width="8.88671875" style="143" customWidth="1"/>
  </cols>
  <sheetData>
    <row r="1" spans="1:5" ht="21" customHeight="1">
      <c r="A1" s="140" t="s">
        <v>975</v>
      </c>
      <c r="B1" s="141"/>
      <c r="C1" s="142"/>
      <c r="D1" s="142"/>
      <c r="E1" s="142"/>
    </row>
    <row r="2" spans="1:14" s="147" customFormat="1" ht="21" customHeight="1">
      <c r="A2" s="147" t="s">
        <v>976</v>
      </c>
      <c r="C2" s="148"/>
      <c r="D2" s="148"/>
      <c r="E2" s="148"/>
      <c r="F2" s="149"/>
      <c r="G2" s="148"/>
      <c r="H2" s="150"/>
      <c r="I2" s="151" t="s">
        <v>589</v>
      </c>
      <c r="J2" s="152"/>
      <c r="K2" s="153"/>
      <c r="L2" s="153"/>
      <c r="N2" s="153"/>
    </row>
    <row r="3" spans="1:14" s="147" customFormat="1" ht="15" customHeight="1">
      <c r="A3" s="154" t="s">
        <v>977</v>
      </c>
      <c r="B3" s="155" t="s">
        <v>978</v>
      </c>
      <c r="C3" s="1034" t="s">
        <v>979</v>
      </c>
      <c r="D3" s="1034" t="s">
        <v>980</v>
      </c>
      <c r="E3" s="1034" t="s">
        <v>981</v>
      </c>
      <c r="F3" s="1036" t="s">
        <v>1</v>
      </c>
      <c r="G3" s="1036"/>
      <c r="H3" s="1036"/>
      <c r="I3" s="1037"/>
      <c r="J3" s="1040" t="s">
        <v>982</v>
      </c>
      <c r="K3" s="153"/>
      <c r="L3" s="153"/>
      <c r="N3" s="153"/>
    </row>
    <row r="4" spans="1:14" s="147" customFormat="1" ht="15" customHeight="1">
      <c r="A4" s="156" t="s">
        <v>2</v>
      </c>
      <c r="B4" s="157" t="s">
        <v>3</v>
      </c>
      <c r="C4" s="1035"/>
      <c r="D4" s="1035"/>
      <c r="E4" s="1035"/>
      <c r="F4" s="1038"/>
      <c r="G4" s="1038"/>
      <c r="H4" s="1038"/>
      <c r="I4" s="1039"/>
      <c r="J4" s="1040"/>
      <c r="K4" s="153"/>
      <c r="L4" s="153"/>
      <c r="N4" s="153"/>
    </row>
    <row r="5" spans="1:15" s="147" customFormat="1" ht="15.75" customHeight="1">
      <c r="A5" s="158" t="s">
        <v>983</v>
      </c>
      <c r="B5" s="159"/>
      <c r="C5" s="908">
        <f>SUM(C6+C15)</f>
        <v>9800000000</v>
      </c>
      <c r="D5" s="908">
        <f>SUM(D6+D15)</f>
        <v>16000000000</v>
      </c>
      <c r="E5" s="908">
        <f>C5-D5</f>
        <v>-6200000000</v>
      </c>
      <c r="F5" s="160"/>
      <c r="G5" s="161"/>
      <c r="H5" s="162"/>
      <c r="I5" s="163"/>
      <c r="J5" s="152"/>
      <c r="K5" s="153"/>
      <c r="L5" s="153"/>
      <c r="N5" s="153"/>
      <c r="O5" s="150"/>
    </row>
    <row r="6" spans="1:15" s="147" customFormat="1" ht="15.75" customHeight="1">
      <c r="A6" s="164" t="s">
        <v>984</v>
      </c>
      <c r="B6" s="165"/>
      <c r="C6" s="909">
        <f>SUM(C7:C14)</f>
        <v>2000000000</v>
      </c>
      <c r="D6" s="909">
        <f>SUM(D7:D14)</f>
        <v>4000000000</v>
      </c>
      <c r="E6" s="909">
        <f>C6-D6</f>
        <v>-2000000000</v>
      </c>
      <c r="F6" s="166"/>
      <c r="G6" s="167"/>
      <c r="H6" s="168"/>
      <c r="I6" s="169"/>
      <c r="J6" s="152"/>
      <c r="K6" s="153"/>
      <c r="L6" s="153"/>
      <c r="N6" s="153"/>
      <c r="O6" s="150"/>
    </row>
    <row r="7" spans="1:14" s="147" customFormat="1" ht="15.75" customHeight="1">
      <c r="A7" s="170"/>
      <c r="B7" s="165" t="s">
        <v>127</v>
      </c>
      <c r="C7" s="909">
        <v>0</v>
      </c>
      <c r="D7" s="910">
        <v>0</v>
      </c>
      <c r="E7" s="909">
        <f aca="true" t="shared" si="0" ref="E7:E24">C7-D7</f>
        <v>0</v>
      </c>
      <c r="F7" s="166" t="s">
        <v>20</v>
      </c>
      <c r="G7" s="167"/>
      <c r="H7" s="168"/>
      <c r="I7" s="169"/>
      <c r="J7" s="152"/>
      <c r="K7" s="153"/>
      <c r="L7" s="153"/>
      <c r="N7" s="153"/>
    </row>
    <row r="8" spans="1:14" s="147" customFormat="1" ht="15.75" customHeight="1">
      <c r="A8" s="171"/>
      <c r="B8" s="165" t="s">
        <v>128</v>
      </c>
      <c r="C8" s="909">
        <v>0</v>
      </c>
      <c r="D8" s="910">
        <v>0</v>
      </c>
      <c r="E8" s="909">
        <f t="shared" si="0"/>
        <v>0</v>
      </c>
      <c r="F8" s="166" t="s">
        <v>20</v>
      </c>
      <c r="G8" s="167"/>
      <c r="H8" s="168"/>
      <c r="I8" s="169"/>
      <c r="J8" s="152"/>
      <c r="K8" s="153"/>
      <c r="L8" s="153"/>
      <c r="N8" s="153"/>
    </row>
    <row r="9" spans="1:14" s="147" customFormat="1" ht="15.75" customHeight="1">
      <c r="A9" s="171"/>
      <c r="B9" s="165" t="s">
        <v>129</v>
      </c>
      <c r="C9" s="909">
        <v>2000000000</v>
      </c>
      <c r="D9" s="910">
        <v>4000000000</v>
      </c>
      <c r="E9" s="909">
        <f>C9-D9</f>
        <v>-2000000000</v>
      </c>
      <c r="F9" s="166"/>
      <c r="G9" s="459"/>
      <c r="H9" s="168"/>
      <c r="I9" s="458"/>
      <c r="J9" s="152">
        <f>D9*3%</f>
        <v>120000000</v>
      </c>
      <c r="K9" s="153"/>
      <c r="L9" s="153"/>
      <c r="N9" s="153"/>
    </row>
    <row r="10" spans="1:14" s="147" customFormat="1" ht="15.75" customHeight="1">
      <c r="A10" s="171"/>
      <c r="B10" s="165" t="s">
        <v>131</v>
      </c>
      <c r="C10" s="909">
        <v>0</v>
      </c>
      <c r="D10" s="910">
        <v>0</v>
      </c>
      <c r="E10" s="909">
        <f t="shared" si="0"/>
        <v>0</v>
      </c>
      <c r="F10" s="166" t="s">
        <v>92</v>
      </c>
      <c r="G10" s="167" t="s">
        <v>92</v>
      </c>
      <c r="H10" s="168" t="s">
        <v>92</v>
      </c>
      <c r="I10" s="169"/>
      <c r="J10" s="152"/>
      <c r="K10" s="153"/>
      <c r="L10" s="153"/>
      <c r="N10" s="153"/>
    </row>
    <row r="11" spans="1:14" s="147" customFormat="1" ht="15.75" customHeight="1">
      <c r="A11" s="171"/>
      <c r="B11" s="165" t="s">
        <v>133</v>
      </c>
      <c r="C11" s="909">
        <v>0</v>
      </c>
      <c r="D11" s="910">
        <v>0</v>
      </c>
      <c r="E11" s="909">
        <f t="shared" si="0"/>
        <v>0</v>
      </c>
      <c r="F11" s="166"/>
      <c r="G11" s="167"/>
      <c r="H11" s="168"/>
      <c r="I11" s="169"/>
      <c r="J11" s="152"/>
      <c r="K11" s="153"/>
      <c r="L11" s="153"/>
      <c r="N11" s="153"/>
    </row>
    <row r="12" spans="1:14" s="147" customFormat="1" ht="15.75" customHeight="1">
      <c r="A12" s="171"/>
      <c r="B12" s="165" t="s">
        <v>134</v>
      </c>
      <c r="C12" s="909">
        <v>0</v>
      </c>
      <c r="D12" s="910">
        <v>0</v>
      </c>
      <c r="E12" s="909">
        <f t="shared" si="0"/>
        <v>0</v>
      </c>
      <c r="F12" s="166"/>
      <c r="G12" s="167"/>
      <c r="H12" s="168"/>
      <c r="I12" s="169"/>
      <c r="J12" s="152"/>
      <c r="K12" s="153"/>
      <c r="L12" s="153"/>
      <c r="N12" s="153"/>
    </row>
    <row r="13" spans="1:14" s="147" customFormat="1" ht="15.75" customHeight="1">
      <c r="A13" s="171"/>
      <c r="B13" s="165" t="s">
        <v>135</v>
      </c>
      <c r="C13" s="909">
        <v>0</v>
      </c>
      <c r="D13" s="910">
        <v>0</v>
      </c>
      <c r="E13" s="909">
        <f t="shared" si="0"/>
        <v>0</v>
      </c>
      <c r="F13" s="166"/>
      <c r="G13" s="167"/>
      <c r="H13" s="168"/>
      <c r="I13" s="169"/>
      <c r="J13" s="152"/>
      <c r="K13" s="153"/>
      <c r="L13" s="153"/>
      <c r="N13" s="153"/>
    </row>
    <row r="14" spans="1:14" s="147" customFormat="1" ht="15.75" customHeight="1">
      <c r="A14" s="171"/>
      <c r="B14" s="165" t="s">
        <v>136</v>
      </c>
      <c r="C14" s="909">
        <v>0</v>
      </c>
      <c r="D14" s="910">
        <v>0</v>
      </c>
      <c r="E14" s="909">
        <f t="shared" si="0"/>
        <v>0</v>
      </c>
      <c r="F14" s="166"/>
      <c r="G14" s="167"/>
      <c r="H14" s="168"/>
      <c r="I14" s="169"/>
      <c r="J14" s="152"/>
      <c r="K14" s="153"/>
      <c r="L14" s="153"/>
      <c r="N14" s="153"/>
    </row>
    <row r="15" spans="1:14" s="147" customFormat="1" ht="15.75" customHeight="1">
      <c r="A15" s="164" t="s">
        <v>137</v>
      </c>
      <c r="B15" s="165"/>
      <c r="C15" s="909">
        <f>SUM(C16:C21)</f>
        <v>7800000000</v>
      </c>
      <c r="D15" s="909">
        <f>SUM(D16:D21)</f>
        <v>12000000000</v>
      </c>
      <c r="E15" s="909">
        <f t="shared" si="0"/>
        <v>-4200000000</v>
      </c>
      <c r="F15" s="166"/>
      <c r="G15" s="167"/>
      <c r="H15" s="168"/>
      <c r="I15" s="169"/>
      <c r="J15" s="152"/>
      <c r="K15" s="153"/>
      <c r="L15" s="153"/>
      <c r="N15" s="153"/>
    </row>
    <row r="16" spans="1:14" s="147" customFormat="1" ht="15.75" customHeight="1">
      <c r="A16" s="172"/>
      <c r="B16" s="165" t="s">
        <v>138</v>
      </c>
      <c r="C16" s="909">
        <v>6000000000</v>
      </c>
      <c r="D16" s="910">
        <v>12000000000</v>
      </c>
      <c r="E16" s="909">
        <f t="shared" si="0"/>
        <v>-6000000000</v>
      </c>
      <c r="F16" s="166"/>
      <c r="G16" s="459"/>
      <c r="H16" s="168"/>
      <c r="I16" s="458"/>
      <c r="J16" s="173"/>
      <c r="K16" s="174"/>
      <c r="L16" s="153"/>
      <c r="N16" s="153"/>
    </row>
    <row r="17" spans="1:14" s="147" customFormat="1" ht="15.75" customHeight="1">
      <c r="A17" s="171"/>
      <c r="B17" s="165" t="s">
        <v>139</v>
      </c>
      <c r="C17" s="909">
        <f>+I17</f>
        <v>0</v>
      </c>
      <c r="D17" s="910">
        <v>0</v>
      </c>
      <c r="E17" s="909">
        <f t="shared" si="0"/>
        <v>0</v>
      </c>
      <c r="F17" s="166"/>
      <c r="G17" s="459"/>
      <c r="H17" s="168"/>
      <c r="I17" s="458"/>
      <c r="J17" s="173"/>
      <c r="K17" s="175"/>
      <c r="L17" s="153"/>
      <c r="N17" s="153"/>
    </row>
    <row r="18" spans="1:14" s="147" customFormat="1" ht="15.75" customHeight="1">
      <c r="A18" s="176"/>
      <c r="B18" s="165" t="s">
        <v>140</v>
      </c>
      <c r="C18" s="909">
        <v>1000000000</v>
      </c>
      <c r="D18" s="910">
        <v>0</v>
      </c>
      <c r="E18" s="909">
        <f t="shared" si="0"/>
        <v>1000000000</v>
      </c>
      <c r="F18" s="166"/>
      <c r="G18" s="459"/>
      <c r="H18" s="168"/>
      <c r="I18" s="458"/>
      <c r="J18" s="173"/>
      <c r="K18" s="175"/>
      <c r="L18" s="153"/>
      <c r="N18" s="153"/>
    </row>
    <row r="19" spans="1:14" s="147" customFormat="1" ht="15.75" customHeight="1">
      <c r="A19" s="176"/>
      <c r="B19" s="165" t="s">
        <v>141</v>
      </c>
      <c r="C19" s="909">
        <v>500000000</v>
      </c>
      <c r="D19" s="910">
        <v>0</v>
      </c>
      <c r="E19" s="909">
        <f t="shared" si="0"/>
        <v>500000000</v>
      </c>
      <c r="F19" s="166"/>
      <c r="G19" s="459"/>
      <c r="H19" s="168"/>
      <c r="I19" s="458"/>
      <c r="J19" s="173"/>
      <c r="K19" s="177"/>
      <c r="L19" s="153"/>
      <c r="N19" s="153"/>
    </row>
    <row r="20" spans="1:14" s="147" customFormat="1" ht="15.75" customHeight="1">
      <c r="A20" s="171"/>
      <c r="B20" s="165" t="s">
        <v>142</v>
      </c>
      <c r="C20" s="909">
        <f>+I20</f>
        <v>0</v>
      </c>
      <c r="D20" s="910">
        <v>0</v>
      </c>
      <c r="E20" s="909">
        <f t="shared" si="0"/>
        <v>0</v>
      </c>
      <c r="F20" s="166"/>
      <c r="G20" s="459"/>
      <c r="H20" s="168"/>
      <c r="I20" s="458"/>
      <c r="J20" s="173"/>
      <c r="K20" s="177"/>
      <c r="L20" s="153"/>
      <c r="N20" s="153"/>
    </row>
    <row r="21" spans="1:14" s="147" customFormat="1" ht="15.75" customHeight="1">
      <c r="A21" s="178"/>
      <c r="B21" s="165" t="s">
        <v>143</v>
      </c>
      <c r="C21" s="909">
        <v>300000000</v>
      </c>
      <c r="D21" s="910">
        <v>0</v>
      </c>
      <c r="E21" s="909">
        <f t="shared" si="0"/>
        <v>300000000</v>
      </c>
      <c r="F21" s="166"/>
      <c r="G21" s="459"/>
      <c r="H21" s="168"/>
      <c r="I21" s="458"/>
      <c r="J21" s="173"/>
      <c r="K21" s="177"/>
      <c r="L21" s="153"/>
      <c r="N21" s="153"/>
    </row>
    <row r="22" spans="1:15" s="147" customFormat="1" ht="15.75" customHeight="1">
      <c r="A22" s="179" t="s">
        <v>144</v>
      </c>
      <c r="B22" s="180"/>
      <c r="C22" s="911">
        <f>SUM(C23+C41+C51+C62)</f>
        <v>6143310000</v>
      </c>
      <c r="D22" s="911">
        <f>SUM(D23+D41+D51+D62)</f>
        <v>0</v>
      </c>
      <c r="E22" s="911">
        <f t="shared" si="0"/>
        <v>6143310000</v>
      </c>
      <c r="F22" s="181"/>
      <c r="G22" s="460"/>
      <c r="H22" s="182"/>
      <c r="I22" s="473"/>
      <c r="J22" s="152"/>
      <c r="K22" s="153"/>
      <c r="L22" s="153"/>
      <c r="N22" s="153"/>
      <c r="O22" s="150"/>
    </row>
    <row r="23" spans="1:14" s="147" customFormat="1" ht="15.75" customHeight="1">
      <c r="A23" s="164" t="s">
        <v>338</v>
      </c>
      <c r="B23" s="165"/>
      <c r="C23" s="909">
        <f>SUM(C24:C40)</f>
        <v>380000000</v>
      </c>
      <c r="D23" s="910">
        <v>0</v>
      </c>
      <c r="E23" s="909">
        <f t="shared" si="0"/>
        <v>380000000</v>
      </c>
      <c r="F23" s="166"/>
      <c r="G23" s="459"/>
      <c r="H23" s="168"/>
      <c r="I23" s="458"/>
      <c r="J23" s="152"/>
      <c r="K23" s="153"/>
      <c r="L23" s="153"/>
      <c r="N23" s="153"/>
    </row>
    <row r="24" spans="1:14" s="147" customFormat="1" ht="15.75" customHeight="1">
      <c r="A24" s="172"/>
      <c r="B24" s="183" t="s">
        <v>145</v>
      </c>
      <c r="C24" s="912">
        <f>+I27</f>
        <v>0</v>
      </c>
      <c r="D24" s="913">
        <v>0</v>
      </c>
      <c r="E24" s="912">
        <f t="shared" si="0"/>
        <v>0</v>
      </c>
      <c r="F24" s="184"/>
      <c r="G24" s="190"/>
      <c r="H24" s="185"/>
      <c r="I24" s="474"/>
      <c r="J24" s="152">
        <f>D24*3%</f>
        <v>0</v>
      </c>
      <c r="K24" s="153"/>
      <c r="L24" s="1028" t="s">
        <v>564</v>
      </c>
      <c r="N24" s="153"/>
    </row>
    <row r="25" spans="1:14" s="147" customFormat="1" ht="15.75" customHeight="1" hidden="1">
      <c r="A25" s="176"/>
      <c r="B25" s="186"/>
      <c r="C25" s="914"/>
      <c r="D25" s="915"/>
      <c r="E25" s="914"/>
      <c r="F25" s="721"/>
      <c r="G25" s="190"/>
      <c r="H25" s="188"/>
      <c r="I25" s="191"/>
      <c r="J25" s="152">
        <v>644765</v>
      </c>
      <c r="K25" s="153"/>
      <c r="L25" s="1029"/>
      <c r="N25" s="153"/>
    </row>
    <row r="26" spans="1:14" s="147" customFormat="1" ht="15.75" customHeight="1" hidden="1">
      <c r="A26" s="176"/>
      <c r="B26" s="186"/>
      <c r="C26" s="914"/>
      <c r="D26" s="915"/>
      <c r="E26" s="914"/>
      <c r="F26" s="721"/>
      <c r="G26" s="190"/>
      <c r="H26" s="188"/>
      <c r="I26" s="191"/>
      <c r="J26" s="152"/>
      <c r="K26" s="153"/>
      <c r="L26" s="1029"/>
      <c r="N26" s="153"/>
    </row>
    <row r="27" spans="1:14" s="147" customFormat="1" ht="15.75" customHeight="1" hidden="1">
      <c r="A27" s="176"/>
      <c r="B27" s="186"/>
      <c r="C27" s="914"/>
      <c r="D27" s="915"/>
      <c r="E27" s="916"/>
      <c r="F27" s="721"/>
      <c r="G27" s="190"/>
      <c r="H27" s="188"/>
      <c r="I27" s="205"/>
      <c r="J27" s="152"/>
      <c r="K27" s="153"/>
      <c r="L27" s="1029"/>
      <c r="N27" s="153"/>
    </row>
    <row r="28" spans="1:14" s="147" customFormat="1" ht="15.75" customHeight="1">
      <c r="A28" s="176"/>
      <c r="B28" s="183" t="s">
        <v>148</v>
      </c>
      <c r="C28" s="912">
        <v>0</v>
      </c>
      <c r="D28" s="917">
        <v>0</v>
      </c>
      <c r="E28" s="912">
        <f>C28-D28</f>
        <v>0</v>
      </c>
      <c r="F28" s="184"/>
      <c r="G28" s="459"/>
      <c r="H28" s="185"/>
      <c r="I28" s="474"/>
      <c r="J28" s="152">
        <f>D28*3%</f>
        <v>0</v>
      </c>
      <c r="K28" s="153"/>
      <c r="L28" s="1029"/>
      <c r="N28" s="153"/>
    </row>
    <row r="29" spans="1:14" s="147" customFormat="1" ht="15.75" customHeight="1">
      <c r="A29" s="171"/>
      <c r="B29" s="165" t="s">
        <v>152</v>
      </c>
      <c r="C29" s="909">
        <f>+I29</f>
        <v>0</v>
      </c>
      <c r="D29" s="910">
        <v>0</v>
      </c>
      <c r="E29" s="909">
        <f>C29-D29</f>
        <v>0</v>
      </c>
      <c r="F29" s="166"/>
      <c r="G29" s="460"/>
      <c r="H29" s="168"/>
      <c r="I29" s="458"/>
      <c r="J29" s="152"/>
      <c r="K29" s="153"/>
      <c r="L29" s="1029"/>
      <c r="N29" s="153"/>
    </row>
    <row r="30" spans="1:14" s="147" customFormat="1" ht="15.75" customHeight="1">
      <c r="A30" s="171"/>
      <c r="B30" s="165" t="s">
        <v>153</v>
      </c>
      <c r="C30" s="909">
        <f>+I30</f>
        <v>0</v>
      </c>
      <c r="D30" s="917">
        <v>0</v>
      </c>
      <c r="E30" s="909">
        <f>C30-D30</f>
        <v>0</v>
      </c>
      <c r="F30" s="166"/>
      <c r="G30" s="459"/>
      <c r="H30" s="168"/>
      <c r="I30" s="458"/>
      <c r="J30" s="152"/>
      <c r="K30" s="153"/>
      <c r="L30" s="1029"/>
      <c r="N30" s="153"/>
    </row>
    <row r="31" spans="1:14" s="147" customFormat="1" ht="15.75" customHeight="1">
      <c r="A31" s="171"/>
      <c r="B31" s="186" t="s">
        <v>154</v>
      </c>
      <c r="C31" s="914">
        <v>200000000</v>
      </c>
      <c r="D31" s="917">
        <v>0</v>
      </c>
      <c r="E31" s="914">
        <f>C31-D31</f>
        <v>200000000</v>
      </c>
      <c r="F31" s="166"/>
      <c r="G31" s="459"/>
      <c r="H31" s="168"/>
      <c r="I31" s="458"/>
      <c r="J31" s="152">
        <f>D31*3%-E31</f>
        <v>-200000000</v>
      </c>
      <c r="K31" s="153"/>
      <c r="L31" s="1029"/>
      <c r="N31" s="153"/>
    </row>
    <row r="32" spans="1:14" s="147" customFormat="1" ht="15.75" customHeight="1" hidden="1">
      <c r="A32" s="171"/>
      <c r="B32" s="186"/>
      <c r="C32" s="914"/>
      <c r="D32" s="915"/>
      <c r="E32" s="914"/>
      <c r="F32" s="721"/>
      <c r="G32" s="190"/>
      <c r="H32" s="188"/>
      <c r="I32" s="191"/>
      <c r="J32" s="152"/>
      <c r="K32" s="153"/>
      <c r="L32" s="1029"/>
      <c r="N32" s="153"/>
    </row>
    <row r="33" spans="1:14" s="147" customFormat="1" ht="15.75" customHeight="1" hidden="1">
      <c r="A33" s="171"/>
      <c r="B33" s="186"/>
      <c r="C33" s="914"/>
      <c r="D33" s="915"/>
      <c r="E33" s="914"/>
      <c r="F33" s="721"/>
      <c r="G33" s="190"/>
      <c r="H33" s="188"/>
      <c r="I33" s="191"/>
      <c r="J33" s="152"/>
      <c r="K33" s="153"/>
      <c r="L33" s="1029"/>
      <c r="N33" s="153"/>
    </row>
    <row r="34" spans="1:14" s="147" customFormat="1" ht="15.75" customHeight="1" hidden="1">
      <c r="A34" s="171"/>
      <c r="B34" s="186"/>
      <c r="C34" s="914"/>
      <c r="D34" s="915"/>
      <c r="E34" s="914"/>
      <c r="F34" s="721"/>
      <c r="G34" s="190"/>
      <c r="H34" s="188"/>
      <c r="I34" s="191"/>
      <c r="J34" s="152"/>
      <c r="K34" s="153"/>
      <c r="L34" s="1029"/>
      <c r="N34" s="153"/>
    </row>
    <row r="35" spans="1:14" s="147" customFormat="1" ht="15.75" customHeight="1" hidden="1">
      <c r="A35" s="171"/>
      <c r="B35" s="186"/>
      <c r="C35" s="914"/>
      <c r="D35" s="915"/>
      <c r="E35" s="914"/>
      <c r="F35" s="721"/>
      <c r="G35" s="190"/>
      <c r="H35" s="188"/>
      <c r="I35" s="191"/>
      <c r="J35" s="152"/>
      <c r="K35" s="153"/>
      <c r="L35" s="1029"/>
      <c r="N35" s="153"/>
    </row>
    <row r="36" spans="1:14" s="147" customFormat="1" ht="15.75" customHeight="1" hidden="1">
      <c r="A36" s="171"/>
      <c r="B36" s="186"/>
      <c r="C36" s="914"/>
      <c r="D36" s="915"/>
      <c r="E36" s="914"/>
      <c r="F36" s="721"/>
      <c r="G36" s="190"/>
      <c r="H36" s="188"/>
      <c r="I36" s="191"/>
      <c r="J36" s="152"/>
      <c r="K36" s="153"/>
      <c r="L36" s="1029"/>
      <c r="N36" s="153"/>
    </row>
    <row r="37" spans="1:14" s="147" customFormat="1" ht="15.75" customHeight="1" hidden="1">
      <c r="A37" s="171"/>
      <c r="B37" s="192"/>
      <c r="C37" s="916"/>
      <c r="D37" s="918"/>
      <c r="E37" s="916"/>
      <c r="F37" s="193"/>
      <c r="G37" s="461"/>
      <c r="H37" s="195"/>
      <c r="I37" s="194"/>
      <c r="J37" s="152"/>
      <c r="K37" s="153"/>
      <c r="L37" s="1029"/>
      <c r="N37" s="153"/>
    </row>
    <row r="38" spans="1:14" s="147" customFormat="1" ht="15.75" customHeight="1">
      <c r="A38" s="249"/>
      <c r="B38" s="842" t="s">
        <v>985</v>
      </c>
      <c r="C38" s="919">
        <v>50000000</v>
      </c>
      <c r="D38" s="920">
        <v>0</v>
      </c>
      <c r="E38" s="919">
        <f aca="true" t="shared" si="1" ref="E38:E44">C38-D38</f>
        <v>50000000</v>
      </c>
      <c r="F38" s="251"/>
      <c r="G38" s="462"/>
      <c r="H38" s="252"/>
      <c r="I38" s="255"/>
      <c r="J38" s="152"/>
      <c r="K38" s="153"/>
      <c r="L38" s="1029"/>
      <c r="N38" s="153"/>
    </row>
    <row r="39" spans="1:14" s="147" customFormat="1" ht="15.75" customHeight="1">
      <c r="A39" s="171" t="s">
        <v>986</v>
      </c>
      <c r="B39" s="186" t="s">
        <v>987</v>
      </c>
      <c r="C39" s="914">
        <v>30000000</v>
      </c>
      <c r="D39" s="915">
        <v>0</v>
      </c>
      <c r="E39" s="914">
        <f t="shared" si="1"/>
        <v>30000000</v>
      </c>
      <c r="F39" s="721"/>
      <c r="G39" s="190"/>
      <c r="H39" s="188"/>
      <c r="I39" s="191"/>
      <c r="J39" s="152"/>
      <c r="K39" s="153"/>
      <c r="L39" s="1029"/>
      <c r="N39" s="153"/>
    </row>
    <row r="40" spans="1:14" s="147" customFormat="1" ht="15.75" customHeight="1">
      <c r="A40" s="171"/>
      <c r="B40" s="165" t="s">
        <v>163</v>
      </c>
      <c r="C40" s="909">
        <v>100000000</v>
      </c>
      <c r="D40" s="910">
        <v>0</v>
      </c>
      <c r="E40" s="909">
        <f t="shared" si="1"/>
        <v>100000000</v>
      </c>
      <c r="F40" s="166"/>
      <c r="G40" s="459"/>
      <c r="H40" s="168"/>
      <c r="I40" s="458"/>
      <c r="J40" s="152"/>
      <c r="K40" s="153"/>
      <c r="L40" s="1029"/>
      <c r="N40" s="153"/>
    </row>
    <row r="41" spans="1:14" s="147" customFormat="1" ht="15.75" customHeight="1">
      <c r="A41" s="164" t="s">
        <v>988</v>
      </c>
      <c r="B41" s="165"/>
      <c r="C41" s="909">
        <f>SUM(C42:C50)</f>
        <v>2370000000</v>
      </c>
      <c r="D41" s="910">
        <v>0</v>
      </c>
      <c r="E41" s="909">
        <f t="shared" si="1"/>
        <v>2370000000</v>
      </c>
      <c r="F41" s="166"/>
      <c r="G41" s="459"/>
      <c r="H41" s="168"/>
      <c r="I41" s="458"/>
      <c r="J41" s="152"/>
      <c r="K41" s="153"/>
      <c r="L41" s="1029"/>
      <c r="N41" s="153"/>
    </row>
    <row r="42" spans="1:14" s="147" customFormat="1" ht="15.75" customHeight="1">
      <c r="A42" s="171"/>
      <c r="B42" s="183" t="s">
        <v>165</v>
      </c>
      <c r="C42" s="912">
        <v>50000000</v>
      </c>
      <c r="D42" s="917">
        <v>0</v>
      </c>
      <c r="E42" s="912">
        <f t="shared" si="1"/>
        <v>50000000</v>
      </c>
      <c r="F42" s="184"/>
      <c r="G42" s="459"/>
      <c r="H42" s="185"/>
      <c r="I42" s="474"/>
      <c r="J42" s="152"/>
      <c r="K42" s="153"/>
      <c r="L42" s="1029"/>
      <c r="N42" s="153"/>
    </row>
    <row r="43" spans="1:14" s="147" customFormat="1" ht="15.75" customHeight="1">
      <c r="A43" s="171"/>
      <c r="B43" s="165" t="s">
        <v>166</v>
      </c>
      <c r="C43" s="912">
        <v>20000000</v>
      </c>
      <c r="D43" s="917">
        <v>0</v>
      </c>
      <c r="E43" s="912">
        <f t="shared" si="1"/>
        <v>20000000</v>
      </c>
      <c r="F43" s="184"/>
      <c r="G43" s="190"/>
      <c r="H43" s="185"/>
      <c r="I43" s="474"/>
      <c r="J43" s="152"/>
      <c r="K43" s="153"/>
      <c r="L43" s="1029"/>
      <c r="N43" s="153"/>
    </row>
    <row r="44" spans="1:14" s="147" customFormat="1" ht="15.75" customHeight="1">
      <c r="A44" s="171"/>
      <c r="B44" s="165" t="s">
        <v>169</v>
      </c>
      <c r="C44" s="909">
        <v>500000000</v>
      </c>
      <c r="D44" s="917">
        <v>0</v>
      </c>
      <c r="E44" s="912">
        <f t="shared" si="1"/>
        <v>500000000</v>
      </c>
      <c r="F44" s="845"/>
      <c r="G44" s="464"/>
      <c r="H44" s="846"/>
      <c r="I44" s="792"/>
      <c r="J44" s="152"/>
      <c r="K44" s="153"/>
      <c r="L44" s="1029"/>
      <c r="N44" s="153"/>
    </row>
    <row r="45" spans="1:14" s="147" customFormat="1" ht="15.75" customHeight="1">
      <c r="A45" s="171"/>
      <c r="B45" s="192" t="s">
        <v>170</v>
      </c>
      <c r="C45" s="916">
        <v>200000000</v>
      </c>
      <c r="D45" s="910">
        <v>0</v>
      </c>
      <c r="E45" s="909">
        <v>0</v>
      </c>
      <c r="F45" s="181"/>
      <c r="G45" s="460"/>
      <c r="H45" s="182"/>
      <c r="I45" s="194"/>
      <c r="J45" s="152">
        <f>D45*3%</f>
        <v>0</v>
      </c>
      <c r="K45" s="153"/>
      <c r="L45" s="1029"/>
      <c r="N45" s="153"/>
    </row>
    <row r="46" spans="1:14" s="147" customFormat="1" ht="15.75" customHeight="1">
      <c r="A46" s="171"/>
      <c r="B46" s="165" t="s">
        <v>172</v>
      </c>
      <c r="C46" s="909">
        <v>300000000</v>
      </c>
      <c r="D46" s="910">
        <v>0</v>
      </c>
      <c r="E46" s="909">
        <f aca="true" t="shared" si="2" ref="E46:E52">C46-D46</f>
        <v>300000000</v>
      </c>
      <c r="F46" s="200"/>
      <c r="G46" s="464"/>
      <c r="H46" s="201"/>
      <c r="I46" s="476"/>
      <c r="J46" s="152">
        <f>D46*3%</f>
        <v>0</v>
      </c>
      <c r="K46" s="153"/>
      <c r="L46" s="1029"/>
      <c r="N46" s="153"/>
    </row>
    <row r="47" spans="1:14" s="147" customFormat="1" ht="15.75" customHeight="1">
      <c r="A47" s="171"/>
      <c r="B47" s="165" t="s">
        <v>174</v>
      </c>
      <c r="C47" s="912">
        <v>700000000</v>
      </c>
      <c r="D47" s="917">
        <v>0</v>
      </c>
      <c r="E47" s="912">
        <f t="shared" si="2"/>
        <v>700000000</v>
      </c>
      <c r="F47" s="200"/>
      <c r="G47" s="244"/>
      <c r="H47" s="207"/>
      <c r="I47" s="245"/>
      <c r="J47" s="202"/>
      <c r="K47" s="153"/>
      <c r="L47" s="1029"/>
      <c r="N47" s="153"/>
    </row>
    <row r="48" spans="1:14" s="147" customFormat="1" ht="15.75" customHeight="1">
      <c r="A48" s="171"/>
      <c r="B48" s="186" t="s">
        <v>175</v>
      </c>
      <c r="C48" s="909">
        <v>100000000</v>
      </c>
      <c r="D48" s="917">
        <v>0</v>
      </c>
      <c r="E48" s="912">
        <f t="shared" si="2"/>
        <v>100000000</v>
      </c>
      <c r="F48" s="721"/>
      <c r="G48" s="459"/>
      <c r="H48" s="185"/>
      <c r="I48" s="474"/>
      <c r="J48" s="152">
        <f>D48*3%</f>
        <v>0</v>
      </c>
      <c r="K48" s="153"/>
      <c r="L48" s="1029"/>
      <c r="N48" s="153"/>
    </row>
    <row r="49" spans="1:14" s="147" customFormat="1" ht="15.75" customHeight="1">
      <c r="A49" s="171"/>
      <c r="B49" s="165" t="s">
        <v>989</v>
      </c>
      <c r="C49" s="914">
        <v>100000000</v>
      </c>
      <c r="D49" s="910">
        <v>0</v>
      </c>
      <c r="E49" s="909">
        <f t="shared" si="2"/>
        <v>100000000</v>
      </c>
      <c r="F49" s="166"/>
      <c r="G49" s="190"/>
      <c r="H49" s="168"/>
      <c r="I49" s="458"/>
      <c r="J49" s="152"/>
      <c r="K49" s="153"/>
      <c r="L49" s="1029"/>
      <c r="N49" s="153"/>
    </row>
    <row r="50" spans="1:14" s="147" customFormat="1" ht="15.75" customHeight="1">
      <c r="A50" s="178"/>
      <c r="B50" s="165" t="s">
        <v>179</v>
      </c>
      <c r="C50" s="912">
        <v>400000000</v>
      </c>
      <c r="D50" s="917">
        <v>0</v>
      </c>
      <c r="E50" s="912">
        <f t="shared" si="2"/>
        <v>400000000</v>
      </c>
      <c r="F50" s="200"/>
      <c r="G50" s="244"/>
      <c r="H50" s="201"/>
      <c r="I50" s="245"/>
      <c r="J50" s="152">
        <f>D50*3%</f>
        <v>0</v>
      </c>
      <c r="K50" s="153"/>
      <c r="L50" s="1029"/>
      <c r="N50" s="153"/>
    </row>
    <row r="51" spans="1:14" s="147" customFormat="1" ht="15.75" customHeight="1">
      <c r="A51" s="178" t="s">
        <v>182</v>
      </c>
      <c r="B51" s="192"/>
      <c r="C51" s="909">
        <f>SUM(C52:C61)</f>
        <v>693310000</v>
      </c>
      <c r="D51" s="910">
        <v>0</v>
      </c>
      <c r="E51" s="909">
        <f t="shared" si="2"/>
        <v>693310000</v>
      </c>
      <c r="F51" s="181"/>
      <c r="G51" s="459"/>
      <c r="H51" s="182"/>
      <c r="I51" s="458"/>
      <c r="J51" s="152"/>
      <c r="K51" s="153"/>
      <c r="L51" s="1029"/>
      <c r="N51" s="153"/>
    </row>
    <row r="52" spans="1:14" s="147" customFormat="1" ht="15.75" customHeight="1">
      <c r="A52" s="170"/>
      <c r="B52" s="208" t="s">
        <v>183</v>
      </c>
      <c r="C52" s="912">
        <v>200000000</v>
      </c>
      <c r="D52" s="917">
        <v>0</v>
      </c>
      <c r="E52" s="912">
        <f t="shared" si="2"/>
        <v>200000000</v>
      </c>
      <c r="F52" s="721"/>
      <c r="G52" s="190"/>
      <c r="H52" s="168"/>
      <c r="I52" s="458"/>
      <c r="J52" s="152"/>
      <c r="K52" s="153"/>
      <c r="L52" s="1029"/>
      <c r="N52" s="153"/>
    </row>
    <row r="53" spans="1:14" s="147" customFormat="1" ht="15.75" customHeight="1">
      <c r="A53" s="171"/>
      <c r="B53" s="183" t="s">
        <v>184</v>
      </c>
      <c r="C53" s="912">
        <v>0</v>
      </c>
      <c r="D53" s="917">
        <v>0</v>
      </c>
      <c r="E53" s="912">
        <f aca="true" t="shared" si="3" ref="E53:E58">C53-D53</f>
        <v>0</v>
      </c>
      <c r="F53" s="166"/>
      <c r="G53" s="459"/>
      <c r="H53" s="188"/>
      <c r="I53" s="191"/>
      <c r="J53" s="152">
        <v>322288</v>
      </c>
      <c r="K53" s="153" t="e">
        <f>J53-#REF!</f>
        <v>#REF!</v>
      </c>
      <c r="L53" s="1029"/>
      <c r="N53" s="153"/>
    </row>
    <row r="54" spans="1:14" s="147" customFormat="1" ht="15.75" customHeight="1">
      <c r="A54" s="171"/>
      <c r="B54" s="183" t="s">
        <v>185</v>
      </c>
      <c r="C54" s="909">
        <v>0</v>
      </c>
      <c r="D54" s="910">
        <v>0</v>
      </c>
      <c r="E54" s="909">
        <f t="shared" si="3"/>
        <v>0</v>
      </c>
      <c r="F54" s="184"/>
      <c r="G54" s="189"/>
      <c r="H54" s="185"/>
      <c r="I54" s="474"/>
      <c r="J54" s="152"/>
      <c r="K54" s="153"/>
      <c r="L54" s="153"/>
      <c r="N54" s="153"/>
    </row>
    <row r="55" spans="1:14" s="147" customFormat="1" ht="15.75" customHeight="1">
      <c r="A55" s="171"/>
      <c r="B55" s="183" t="s">
        <v>1187</v>
      </c>
      <c r="C55" s="909">
        <v>0</v>
      </c>
      <c r="D55" s="910">
        <v>0</v>
      </c>
      <c r="E55" s="909">
        <f t="shared" si="3"/>
        <v>0</v>
      </c>
      <c r="F55" s="184"/>
      <c r="G55" s="189"/>
      <c r="H55" s="185"/>
      <c r="I55" s="474"/>
      <c r="J55" s="152"/>
      <c r="K55" s="153"/>
      <c r="L55" s="153"/>
      <c r="N55" s="153"/>
    </row>
    <row r="56" spans="1:14" s="147" customFormat="1" ht="15.75" customHeight="1">
      <c r="A56" s="171"/>
      <c r="B56" s="183" t="s">
        <v>1188</v>
      </c>
      <c r="C56" s="909">
        <v>0</v>
      </c>
      <c r="D56" s="910">
        <v>0</v>
      </c>
      <c r="E56" s="909">
        <f t="shared" si="3"/>
        <v>0</v>
      </c>
      <c r="F56" s="184"/>
      <c r="G56" s="189"/>
      <c r="H56" s="185"/>
      <c r="I56" s="474"/>
      <c r="J56" s="152"/>
      <c r="K56" s="153"/>
      <c r="L56" s="153"/>
      <c r="N56" s="153"/>
    </row>
    <row r="57" spans="1:14" s="147" customFormat="1" ht="15.75" customHeight="1">
      <c r="A57" s="171"/>
      <c r="B57" s="165" t="s">
        <v>1189</v>
      </c>
      <c r="C57" s="922">
        <f>+I57</f>
        <v>0</v>
      </c>
      <c r="D57" s="910">
        <v>0</v>
      </c>
      <c r="E57" s="909">
        <f t="shared" si="3"/>
        <v>0</v>
      </c>
      <c r="F57" s="200"/>
      <c r="G57" s="464"/>
      <c r="H57" s="201"/>
      <c r="I57" s="476"/>
      <c r="J57" s="152"/>
      <c r="K57" s="153"/>
      <c r="L57" s="153"/>
      <c r="N57" s="153"/>
    </row>
    <row r="58" spans="1:14" s="147" customFormat="1" ht="15.75" customHeight="1">
      <c r="A58" s="171"/>
      <c r="B58" s="192" t="s">
        <v>1191</v>
      </c>
      <c r="C58" s="922">
        <v>393310000</v>
      </c>
      <c r="D58" s="910">
        <v>0</v>
      </c>
      <c r="E58" s="909">
        <f t="shared" si="3"/>
        <v>393310000</v>
      </c>
      <c r="F58" s="210"/>
      <c r="G58" s="211"/>
      <c r="H58" s="212"/>
      <c r="I58" s="477"/>
      <c r="J58" s="152" t="e">
        <f>#REF!*3%</f>
        <v>#REF!</v>
      </c>
      <c r="K58" s="153"/>
      <c r="L58" s="153"/>
      <c r="N58" s="153"/>
    </row>
    <row r="59" spans="1:14" s="147" customFormat="1" ht="15.75" customHeight="1">
      <c r="A59" s="171"/>
      <c r="B59" s="165" t="s">
        <v>1192</v>
      </c>
      <c r="C59" s="909">
        <f>+I59</f>
        <v>0</v>
      </c>
      <c r="D59" s="910">
        <v>0</v>
      </c>
      <c r="E59" s="909">
        <f>C59-D59</f>
        <v>0</v>
      </c>
      <c r="F59" s="166"/>
      <c r="G59" s="459"/>
      <c r="H59" s="168"/>
      <c r="I59" s="458"/>
      <c r="J59" s="152"/>
      <c r="K59" s="153"/>
      <c r="L59" s="153"/>
      <c r="N59" s="153"/>
    </row>
    <row r="60" spans="1:14" s="147" customFormat="1" ht="15.75" customHeight="1">
      <c r="A60" s="171"/>
      <c r="B60" s="165" t="s">
        <v>1193</v>
      </c>
      <c r="C60" s="909">
        <f>+I60</f>
        <v>0</v>
      </c>
      <c r="D60" s="910">
        <v>0</v>
      </c>
      <c r="E60" s="909">
        <f>C60-D60</f>
        <v>0</v>
      </c>
      <c r="F60" s="166"/>
      <c r="G60" s="459"/>
      <c r="H60" s="168"/>
      <c r="I60" s="458"/>
      <c r="J60" s="152"/>
      <c r="K60" s="153"/>
      <c r="L60" s="153"/>
      <c r="N60" s="153"/>
    </row>
    <row r="61" spans="1:14" s="147" customFormat="1" ht="15.75" customHeight="1">
      <c r="A61" s="178"/>
      <c r="B61" s="192" t="s">
        <v>1194</v>
      </c>
      <c r="C61" s="909">
        <v>100000000</v>
      </c>
      <c r="D61" s="918">
        <v>0</v>
      </c>
      <c r="E61" s="909">
        <f>C61-D61</f>
        <v>100000000</v>
      </c>
      <c r="F61" s="181"/>
      <c r="G61" s="460"/>
      <c r="H61" s="182"/>
      <c r="I61" s="194"/>
      <c r="J61" s="152"/>
      <c r="K61" s="153"/>
      <c r="L61" s="153"/>
      <c r="N61" s="153"/>
    </row>
    <row r="62" spans="1:14" s="147" customFormat="1" ht="15.75" customHeight="1">
      <c r="A62" s="178" t="s">
        <v>990</v>
      </c>
      <c r="B62" s="192"/>
      <c r="C62" s="916">
        <f>SUM(C63:C68)</f>
        <v>2700000000</v>
      </c>
      <c r="D62" s="916">
        <f>SUM(D63:D68)</f>
        <v>0</v>
      </c>
      <c r="E62" s="916">
        <f>C62-D62</f>
        <v>2700000000</v>
      </c>
      <c r="F62" s="181"/>
      <c r="G62" s="460"/>
      <c r="H62" s="182"/>
      <c r="I62" s="473"/>
      <c r="J62" s="152"/>
      <c r="K62" s="153"/>
      <c r="L62" s="153"/>
      <c r="N62" s="153"/>
    </row>
    <row r="63" spans="1:14" s="147" customFormat="1" ht="15.75" customHeight="1">
      <c r="A63" s="170"/>
      <c r="B63" s="183" t="s">
        <v>194</v>
      </c>
      <c r="C63" s="912">
        <v>1000000000</v>
      </c>
      <c r="D63" s="910">
        <v>0</v>
      </c>
      <c r="E63" s="912">
        <f>C63-D63</f>
        <v>1000000000</v>
      </c>
      <c r="F63" s="184"/>
      <c r="G63" s="189"/>
      <c r="H63" s="185"/>
      <c r="I63" s="474"/>
      <c r="J63" s="152"/>
      <c r="K63" s="153"/>
      <c r="L63" s="1028" t="s">
        <v>991</v>
      </c>
      <c r="N63" s="153"/>
    </row>
    <row r="64" spans="1:14" s="147" customFormat="1" ht="15.75" customHeight="1">
      <c r="A64" s="171"/>
      <c r="B64" s="183" t="s">
        <v>197</v>
      </c>
      <c r="C64" s="912">
        <v>1000000000</v>
      </c>
      <c r="D64" s="915">
        <v>0</v>
      </c>
      <c r="E64" s="912">
        <f>C64-D64</f>
        <v>1000000000</v>
      </c>
      <c r="F64" s="184"/>
      <c r="G64" s="189"/>
      <c r="H64" s="185"/>
      <c r="I64" s="474"/>
      <c r="J64" s="213"/>
      <c r="K64" s="153"/>
      <c r="L64" s="1029"/>
      <c r="N64" s="153"/>
    </row>
    <row r="65" spans="1:14" s="147" customFormat="1" ht="15.75" customHeight="1">
      <c r="A65" s="171"/>
      <c r="B65" s="809" t="s">
        <v>204</v>
      </c>
      <c r="C65" s="912">
        <v>500000000</v>
      </c>
      <c r="D65" s="917">
        <v>0</v>
      </c>
      <c r="E65" s="912">
        <f>C65-D65</f>
        <v>500000000</v>
      </c>
      <c r="F65" s="184"/>
      <c r="G65" s="189"/>
      <c r="H65" s="185"/>
      <c r="I65" s="474"/>
      <c r="J65" s="213"/>
      <c r="K65" s="153"/>
      <c r="L65" s="1029"/>
      <c r="N65" s="153"/>
    </row>
    <row r="66" spans="1:14" s="147" customFormat="1" ht="15.75" customHeight="1">
      <c r="A66" s="171"/>
      <c r="B66" s="165" t="s">
        <v>992</v>
      </c>
      <c r="C66" s="909">
        <v>200000000</v>
      </c>
      <c r="D66" s="910">
        <v>0</v>
      </c>
      <c r="E66" s="909">
        <f aca="true" t="shared" si="4" ref="E66:E71">C66-D66</f>
        <v>200000000</v>
      </c>
      <c r="F66" s="166"/>
      <c r="G66" s="459"/>
      <c r="H66" s="168"/>
      <c r="I66" s="478"/>
      <c r="J66" s="215"/>
      <c r="K66" s="153"/>
      <c r="L66" s="153"/>
      <c r="N66" s="153"/>
    </row>
    <row r="67" spans="1:14" s="147" customFormat="1" ht="15.75" customHeight="1">
      <c r="A67" s="171"/>
      <c r="B67" s="165" t="s">
        <v>993</v>
      </c>
      <c r="C67" s="909">
        <v>0</v>
      </c>
      <c r="D67" s="910">
        <v>0</v>
      </c>
      <c r="E67" s="909">
        <f t="shared" si="4"/>
        <v>0</v>
      </c>
      <c r="F67" s="166"/>
      <c r="G67" s="459"/>
      <c r="H67" s="168"/>
      <c r="I67" s="478"/>
      <c r="J67" s="215"/>
      <c r="K67" s="153"/>
      <c r="L67" s="1031" t="s">
        <v>994</v>
      </c>
      <c r="M67" s="1031"/>
      <c r="N67" s="153"/>
    </row>
    <row r="68" spans="1:14" s="147" customFormat="1" ht="15.75" customHeight="1">
      <c r="A68" s="249"/>
      <c r="B68" s="250" t="s">
        <v>209</v>
      </c>
      <c r="C68" s="926">
        <v>0</v>
      </c>
      <c r="D68" s="920">
        <v>0</v>
      </c>
      <c r="E68" s="919">
        <f t="shared" si="4"/>
        <v>0</v>
      </c>
      <c r="F68" s="251"/>
      <c r="G68" s="462"/>
      <c r="H68" s="252"/>
      <c r="I68" s="255"/>
      <c r="J68" s="215"/>
      <c r="K68" s="153"/>
      <c r="L68" s="1031"/>
      <c r="M68" s="1031"/>
      <c r="N68" s="153"/>
    </row>
    <row r="69" spans="1:15" s="147" customFormat="1" ht="15.75" customHeight="1">
      <c r="A69" s="179" t="s">
        <v>211</v>
      </c>
      <c r="B69" s="180"/>
      <c r="C69" s="911">
        <v>0</v>
      </c>
      <c r="D69" s="927">
        <v>0</v>
      </c>
      <c r="E69" s="911">
        <f t="shared" si="4"/>
        <v>0</v>
      </c>
      <c r="F69" s="181"/>
      <c r="G69" s="460"/>
      <c r="H69" s="182"/>
      <c r="I69" s="473"/>
      <c r="J69" s="152"/>
      <c r="K69" s="153"/>
      <c r="L69" s="153"/>
      <c r="N69" s="153"/>
      <c r="O69" s="150"/>
    </row>
    <row r="70" spans="1:14" s="147" customFormat="1" ht="15.75" customHeight="1">
      <c r="A70" s="164" t="s">
        <v>212</v>
      </c>
      <c r="B70" s="165"/>
      <c r="C70" s="909">
        <f>SUM(C71:C72)</f>
        <v>0</v>
      </c>
      <c r="D70" s="910">
        <v>0</v>
      </c>
      <c r="E70" s="909">
        <f t="shared" si="4"/>
        <v>0</v>
      </c>
      <c r="F70" s="166"/>
      <c r="G70" s="459"/>
      <c r="H70" s="168"/>
      <c r="I70" s="458"/>
      <c r="J70" s="152"/>
      <c r="K70" s="153"/>
      <c r="L70" s="153"/>
      <c r="N70" s="153"/>
    </row>
    <row r="71" spans="1:14" s="147" customFormat="1" ht="15.75" customHeight="1">
      <c r="A71" s="171"/>
      <c r="B71" s="192" t="s">
        <v>213</v>
      </c>
      <c r="C71" s="916">
        <v>0</v>
      </c>
      <c r="D71" s="910">
        <v>0</v>
      </c>
      <c r="E71" s="916">
        <f t="shared" si="4"/>
        <v>0</v>
      </c>
      <c r="F71" s="181"/>
      <c r="G71" s="460"/>
      <c r="H71" s="182"/>
      <c r="I71" s="194"/>
      <c r="J71" s="152"/>
      <c r="K71" s="153"/>
      <c r="L71" s="153"/>
      <c r="N71" s="153"/>
    </row>
    <row r="72" spans="1:14" s="147" customFormat="1" ht="15.75" customHeight="1">
      <c r="A72" s="171"/>
      <c r="B72" s="183" t="s">
        <v>215</v>
      </c>
      <c r="C72" s="909">
        <v>0</v>
      </c>
      <c r="D72" s="910">
        <v>0</v>
      </c>
      <c r="E72" s="909">
        <f>C72-D72</f>
        <v>0</v>
      </c>
      <c r="F72" s="184"/>
      <c r="G72" s="189"/>
      <c r="H72" s="185"/>
      <c r="I72" s="474"/>
      <c r="J72" s="152"/>
      <c r="K72" s="153"/>
      <c r="L72" s="153"/>
      <c r="N72" s="153"/>
    </row>
    <row r="73" spans="1:15" s="147" customFormat="1" ht="15.75" customHeight="1">
      <c r="A73" s="216" t="s">
        <v>216</v>
      </c>
      <c r="B73" s="217"/>
      <c r="C73" s="928">
        <f>SUM(C74+C76)</f>
        <v>1000000000</v>
      </c>
      <c r="D73" s="928">
        <f>SUM(D74+D76)</f>
        <v>3000000000</v>
      </c>
      <c r="E73" s="928">
        <f>C73-D73</f>
        <v>-2000000000</v>
      </c>
      <c r="F73" s="166"/>
      <c r="G73" s="459"/>
      <c r="H73" s="168"/>
      <c r="I73" s="458"/>
      <c r="J73" s="152"/>
      <c r="K73" s="153"/>
      <c r="L73" s="153"/>
      <c r="N73" s="153"/>
      <c r="O73" s="150"/>
    </row>
    <row r="74" spans="1:14" s="147" customFormat="1" ht="15.75" customHeight="1">
      <c r="A74" s="164" t="s">
        <v>217</v>
      </c>
      <c r="B74" s="165"/>
      <c r="C74" s="909">
        <f>SUM(C75)</f>
        <v>1000000000</v>
      </c>
      <c r="D74" s="909">
        <f>SUM(D75)</f>
        <v>3000000000</v>
      </c>
      <c r="E74" s="909">
        <f>C74-D74</f>
        <v>-2000000000</v>
      </c>
      <c r="F74" s="166"/>
      <c r="G74" s="459"/>
      <c r="H74" s="168"/>
      <c r="I74" s="458"/>
      <c r="J74" s="152"/>
      <c r="K74" s="153"/>
      <c r="L74" s="153"/>
      <c r="N74" s="153"/>
    </row>
    <row r="75" spans="1:14" s="147" customFormat="1" ht="15.75" customHeight="1">
      <c r="A75" s="170"/>
      <c r="B75" s="183" t="s">
        <v>218</v>
      </c>
      <c r="C75" s="912">
        <v>1000000000</v>
      </c>
      <c r="D75" s="917">
        <v>3000000000</v>
      </c>
      <c r="E75" s="909">
        <f>C75-D75</f>
        <v>-2000000000</v>
      </c>
      <c r="F75" s="218"/>
      <c r="G75" s="466"/>
      <c r="H75" s="219"/>
      <c r="I75" s="474"/>
      <c r="J75" s="152"/>
      <c r="K75" s="153"/>
      <c r="L75" s="153"/>
      <c r="N75" s="153"/>
    </row>
    <row r="76" spans="1:14" s="147" customFormat="1" ht="15.75" customHeight="1">
      <c r="A76" s="164" t="s">
        <v>219</v>
      </c>
      <c r="B76" s="165"/>
      <c r="C76" s="909">
        <f>SUM(C77:C79)</f>
        <v>0</v>
      </c>
      <c r="D76" s="910">
        <v>0</v>
      </c>
      <c r="E76" s="909">
        <f>C76-D76</f>
        <v>0</v>
      </c>
      <c r="F76" s="166"/>
      <c r="G76" s="459"/>
      <c r="H76" s="168"/>
      <c r="I76" s="458"/>
      <c r="J76" s="152"/>
      <c r="K76" s="153"/>
      <c r="L76" s="153"/>
      <c r="N76" s="153"/>
    </row>
    <row r="77" spans="1:14" s="147" customFormat="1" ht="15.75" customHeight="1">
      <c r="A77" s="170"/>
      <c r="B77" s="165" t="s">
        <v>220</v>
      </c>
      <c r="C77" s="922">
        <f>+I77</f>
        <v>0</v>
      </c>
      <c r="D77" s="910">
        <v>0</v>
      </c>
      <c r="E77" s="909">
        <f>C77-D77</f>
        <v>0</v>
      </c>
      <c r="F77" s="200"/>
      <c r="G77" s="464"/>
      <c r="H77" s="201"/>
      <c r="I77" s="476"/>
      <c r="J77" s="152"/>
      <c r="K77" s="153"/>
      <c r="L77" s="153"/>
      <c r="N77" s="153"/>
    </row>
    <row r="78" spans="1:14" s="147" customFormat="1" ht="15.75" customHeight="1">
      <c r="A78" s="171"/>
      <c r="B78" s="165" t="s">
        <v>995</v>
      </c>
      <c r="C78" s="909">
        <f>+I78</f>
        <v>0</v>
      </c>
      <c r="D78" s="910">
        <v>0</v>
      </c>
      <c r="E78" s="909">
        <f>C78-D78</f>
        <v>0</v>
      </c>
      <c r="F78" s="200"/>
      <c r="G78" s="467"/>
      <c r="H78" s="220"/>
      <c r="I78" s="476"/>
      <c r="J78" s="213"/>
      <c r="K78" s="153"/>
      <c r="L78" s="153"/>
      <c r="N78" s="153"/>
    </row>
    <row r="79" spans="1:14" s="147" customFormat="1" ht="15.75" customHeight="1">
      <c r="A79" s="178"/>
      <c r="B79" s="165" t="s">
        <v>996</v>
      </c>
      <c r="C79" s="909">
        <f>+I79</f>
        <v>0</v>
      </c>
      <c r="D79" s="910">
        <v>0</v>
      </c>
      <c r="E79" s="909">
        <f>C79-D79</f>
        <v>0</v>
      </c>
      <c r="F79" s="246"/>
      <c r="G79" s="468"/>
      <c r="H79" s="247"/>
      <c r="I79" s="479"/>
      <c r="J79" s="152"/>
      <c r="K79" s="153"/>
      <c r="L79" s="153"/>
      <c r="N79" s="153"/>
    </row>
    <row r="80" spans="1:15" s="147" customFormat="1" ht="15.75" customHeight="1">
      <c r="A80" s="179" t="s">
        <v>224</v>
      </c>
      <c r="B80" s="180"/>
      <c r="C80" s="911">
        <f>SUM(C81)</f>
        <v>0</v>
      </c>
      <c r="D80" s="911">
        <f>SUM(D81)</f>
        <v>0</v>
      </c>
      <c r="E80" s="916">
        <f>C80-D80</f>
        <v>0</v>
      </c>
      <c r="F80" s="181"/>
      <c r="G80" s="460"/>
      <c r="H80" s="182"/>
      <c r="I80" s="473"/>
      <c r="J80" s="152"/>
      <c r="K80" s="153"/>
      <c r="L80" s="153"/>
      <c r="N80" s="153"/>
      <c r="O80" s="150"/>
    </row>
    <row r="81" spans="1:14" s="147" customFormat="1" ht="15.75" customHeight="1">
      <c r="A81" s="164" t="s">
        <v>225</v>
      </c>
      <c r="B81" s="165"/>
      <c r="C81" s="909">
        <f>SUM(C82:C85)</f>
        <v>0</v>
      </c>
      <c r="D81" s="909">
        <f>SUM(D82:D85)</f>
        <v>0</v>
      </c>
      <c r="E81" s="909">
        <f>C81-D81</f>
        <v>0</v>
      </c>
      <c r="F81" s="166"/>
      <c r="G81" s="459"/>
      <c r="H81" s="168"/>
      <c r="I81" s="458"/>
      <c r="J81" s="152"/>
      <c r="K81" s="153"/>
      <c r="L81" s="153"/>
      <c r="N81" s="153"/>
    </row>
    <row r="82" spans="1:14" s="147" customFormat="1" ht="15.75" customHeight="1">
      <c r="A82" s="170"/>
      <c r="B82" s="208" t="s">
        <v>226</v>
      </c>
      <c r="C82" s="923">
        <v>0</v>
      </c>
      <c r="D82" s="915">
        <v>0</v>
      </c>
      <c r="E82" s="912">
        <f>C82-D82</f>
        <v>0</v>
      </c>
      <c r="I82" s="191"/>
      <c r="J82" s="152"/>
      <c r="K82" s="153"/>
      <c r="L82" s="153"/>
      <c r="N82" s="153"/>
    </row>
    <row r="83" spans="1:14" s="147" customFormat="1" ht="15.75" customHeight="1">
      <c r="A83" s="171"/>
      <c r="B83" s="165" t="s">
        <v>997</v>
      </c>
      <c r="C83" s="909">
        <f>+I83</f>
        <v>0</v>
      </c>
      <c r="D83" s="910">
        <v>0</v>
      </c>
      <c r="E83" s="909">
        <f aca="true" t="shared" si="5" ref="E83:E104">C83-D83</f>
        <v>0</v>
      </c>
      <c r="F83" s="166"/>
      <c r="G83" s="459"/>
      <c r="H83" s="168"/>
      <c r="I83" s="458"/>
      <c r="J83" s="152"/>
      <c r="K83" s="153"/>
      <c r="L83" s="153"/>
      <c r="N83" s="153"/>
    </row>
    <row r="84" spans="1:14" s="147" customFormat="1" ht="15.75" customHeight="1">
      <c r="A84" s="171"/>
      <c r="B84" s="192" t="s">
        <v>228</v>
      </c>
      <c r="C84" s="916">
        <f>+I84</f>
        <v>0</v>
      </c>
      <c r="D84" s="918">
        <v>0</v>
      </c>
      <c r="E84" s="909">
        <f t="shared" si="5"/>
        <v>0</v>
      </c>
      <c r="F84" s="181"/>
      <c r="G84" s="460"/>
      <c r="H84" s="182"/>
      <c r="I84" s="473"/>
      <c r="J84" s="152"/>
      <c r="K84" s="153"/>
      <c r="L84" s="153"/>
      <c r="N84" s="153"/>
    </row>
    <row r="85" spans="1:14" s="147" customFormat="1" ht="15.75" customHeight="1">
      <c r="A85" s="171"/>
      <c r="B85" s="165" t="s">
        <v>998</v>
      </c>
      <c r="C85" s="909">
        <v>0</v>
      </c>
      <c r="D85" s="910">
        <v>0</v>
      </c>
      <c r="E85" s="912">
        <f>C85-D85</f>
        <v>0</v>
      </c>
      <c r="F85" s="166"/>
      <c r="G85" s="469"/>
      <c r="H85" s="221"/>
      <c r="I85" s="480"/>
      <c r="J85" s="152"/>
      <c r="K85" s="153"/>
      <c r="L85" s="153"/>
      <c r="N85" s="153"/>
    </row>
    <row r="86" spans="1:15" s="147" customFormat="1" ht="15.75" customHeight="1">
      <c r="A86" s="216" t="s">
        <v>999</v>
      </c>
      <c r="B86" s="192"/>
      <c r="C86" s="911">
        <f>SUM(C87)</f>
        <v>2000000000</v>
      </c>
      <c r="D86" s="927">
        <v>0</v>
      </c>
      <c r="E86" s="928">
        <f>C86-D86</f>
        <v>2000000000</v>
      </c>
      <c r="F86" s="181"/>
      <c r="G86" s="459"/>
      <c r="H86" s="168"/>
      <c r="I86" s="458"/>
      <c r="J86" s="152"/>
      <c r="K86" s="153"/>
      <c r="L86" s="153"/>
      <c r="N86" s="153"/>
      <c r="O86" s="150"/>
    </row>
    <row r="87" spans="1:14" s="147" customFormat="1" ht="15.75" customHeight="1">
      <c r="A87" s="164" t="s">
        <v>1000</v>
      </c>
      <c r="B87" s="165"/>
      <c r="C87" s="909">
        <f>SUM(C88)</f>
        <v>2000000000</v>
      </c>
      <c r="D87" s="910">
        <v>0</v>
      </c>
      <c r="E87" s="909">
        <f>C87-D87</f>
        <v>2000000000</v>
      </c>
      <c r="F87" s="166"/>
      <c r="G87" s="459"/>
      <c r="H87" s="168"/>
      <c r="I87" s="458"/>
      <c r="J87" s="152"/>
      <c r="K87" s="153"/>
      <c r="L87" s="153"/>
      <c r="N87" s="153"/>
    </row>
    <row r="88" spans="1:14" s="147" customFormat="1" ht="15.75" customHeight="1">
      <c r="A88" s="178"/>
      <c r="B88" s="192" t="s">
        <v>1001</v>
      </c>
      <c r="C88" s="916">
        <v>2000000000</v>
      </c>
      <c r="D88" s="910">
        <v>0</v>
      </c>
      <c r="E88" s="916">
        <f>C88-D88</f>
        <v>2000000000</v>
      </c>
      <c r="F88" s="181"/>
      <c r="G88" s="460"/>
      <c r="H88" s="182"/>
      <c r="I88" s="194"/>
      <c r="J88" s="152"/>
      <c r="K88" s="153"/>
      <c r="L88" s="153"/>
      <c r="N88" s="153"/>
    </row>
    <row r="89" spans="1:14" s="147" customFormat="1" ht="15.75" customHeight="1">
      <c r="A89" s="216" t="s">
        <v>1002</v>
      </c>
      <c r="B89" s="217"/>
      <c r="C89" s="928">
        <f>C90+C93</f>
        <v>-66773000000</v>
      </c>
      <c r="D89" s="930">
        <v>0</v>
      </c>
      <c r="E89" s="928">
        <f t="shared" si="5"/>
        <v>-66773000000</v>
      </c>
      <c r="F89" s="166"/>
      <c r="G89" s="459"/>
      <c r="H89" s="168"/>
      <c r="I89" s="458"/>
      <c r="J89" s="152"/>
      <c r="K89" s="153"/>
      <c r="L89" s="153"/>
      <c r="N89" s="153"/>
    </row>
    <row r="90" spans="1:14" s="147" customFormat="1" ht="15.75" customHeight="1">
      <c r="A90" s="164" t="s">
        <v>1003</v>
      </c>
      <c r="B90" s="165"/>
      <c r="C90" s="909">
        <f>SUM(C91:C92)</f>
        <v>-66775000000</v>
      </c>
      <c r="D90" s="910">
        <v>0</v>
      </c>
      <c r="E90" s="909">
        <f t="shared" si="5"/>
        <v>-66775000000</v>
      </c>
      <c r="F90" s="166"/>
      <c r="G90" s="459"/>
      <c r="H90" s="168"/>
      <c r="I90" s="458"/>
      <c r="J90" s="152"/>
      <c r="K90" s="153"/>
      <c r="L90" s="153"/>
      <c r="N90" s="153"/>
    </row>
    <row r="91" spans="1:14" s="147" customFormat="1" ht="15.75" customHeight="1">
      <c r="A91" s="844"/>
      <c r="B91" s="165" t="s">
        <v>1004</v>
      </c>
      <c r="C91" s="909">
        <v>-66775000000</v>
      </c>
      <c r="D91" s="910">
        <v>0</v>
      </c>
      <c r="E91" s="909">
        <f t="shared" si="5"/>
        <v>-66775000000</v>
      </c>
      <c r="F91" s="166"/>
      <c r="G91" s="459"/>
      <c r="H91" s="168"/>
      <c r="I91" s="458"/>
      <c r="J91" s="152"/>
      <c r="K91" s="153"/>
      <c r="L91" s="153"/>
      <c r="N91" s="153"/>
    </row>
    <row r="92" spans="1:14" s="147" customFormat="1" ht="15.75" customHeight="1">
      <c r="A92" s="179"/>
      <c r="B92" s="165" t="s">
        <v>1005</v>
      </c>
      <c r="C92" s="909">
        <v>0</v>
      </c>
      <c r="D92" s="918">
        <v>0</v>
      </c>
      <c r="E92" s="909">
        <f t="shared" si="5"/>
        <v>0</v>
      </c>
      <c r="F92" s="166"/>
      <c r="G92" s="459"/>
      <c r="H92" s="168"/>
      <c r="I92" s="458"/>
      <c r="J92" s="152"/>
      <c r="K92" s="153"/>
      <c r="L92" s="153"/>
      <c r="N92" s="153"/>
    </row>
    <row r="93" spans="1:14" s="147" customFormat="1" ht="15.75" customHeight="1">
      <c r="A93" s="164" t="s">
        <v>235</v>
      </c>
      <c r="B93" s="165"/>
      <c r="C93" s="909">
        <f>SUM(C94:C96)</f>
        <v>2000000</v>
      </c>
      <c r="D93" s="910">
        <v>0</v>
      </c>
      <c r="E93" s="909">
        <f t="shared" si="5"/>
        <v>2000000</v>
      </c>
      <c r="F93" s="166"/>
      <c r="G93" s="459"/>
      <c r="H93" s="168"/>
      <c r="I93" s="458"/>
      <c r="J93" s="152"/>
      <c r="K93" s="153"/>
      <c r="L93" s="153"/>
      <c r="N93" s="153"/>
    </row>
    <row r="94" spans="1:14" s="147" customFormat="1" ht="15.75" customHeight="1">
      <c r="A94" s="170"/>
      <c r="B94" s="165" t="s">
        <v>236</v>
      </c>
      <c r="C94" s="909">
        <f>+I94</f>
        <v>0</v>
      </c>
      <c r="D94" s="910">
        <v>0</v>
      </c>
      <c r="E94" s="909">
        <f t="shared" si="5"/>
        <v>0</v>
      </c>
      <c r="F94" s="166"/>
      <c r="G94" s="459"/>
      <c r="H94" s="168"/>
      <c r="I94" s="458"/>
      <c r="J94" s="152"/>
      <c r="K94" s="153"/>
      <c r="L94" s="153"/>
      <c r="N94" s="153"/>
    </row>
    <row r="95" spans="1:14" s="147" customFormat="1" ht="15.75" customHeight="1">
      <c r="A95" s="171"/>
      <c r="B95" s="165" t="s">
        <v>237</v>
      </c>
      <c r="C95" s="909">
        <v>2000000</v>
      </c>
      <c r="D95" s="910">
        <v>0</v>
      </c>
      <c r="E95" s="909">
        <f t="shared" si="5"/>
        <v>2000000</v>
      </c>
      <c r="F95" s="166"/>
      <c r="G95" s="459"/>
      <c r="H95" s="168"/>
      <c r="I95" s="458"/>
      <c r="J95" s="152"/>
      <c r="K95" s="153"/>
      <c r="L95" s="153"/>
      <c r="N95" s="153"/>
    </row>
    <row r="96" spans="1:14" s="147" customFormat="1" ht="15.75" customHeight="1">
      <c r="A96" s="178"/>
      <c r="B96" s="165" t="s">
        <v>238</v>
      </c>
      <c r="C96" s="909">
        <f>+I96</f>
        <v>0</v>
      </c>
      <c r="D96" s="910">
        <v>0</v>
      </c>
      <c r="E96" s="909">
        <f t="shared" si="5"/>
        <v>0</v>
      </c>
      <c r="F96" s="166"/>
      <c r="G96" s="459"/>
      <c r="H96" s="168"/>
      <c r="I96" s="458"/>
      <c r="J96" s="152"/>
      <c r="K96" s="153"/>
      <c r="L96" s="153"/>
      <c r="N96" s="153"/>
    </row>
    <row r="97" spans="1:15" s="147" customFormat="1" ht="15.75" customHeight="1">
      <c r="A97" s="216" t="s">
        <v>239</v>
      </c>
      <c r="B97" s="217"/>
      <c r="C97" s="928">
        <f>SUM(C98)</f>
        <v>170000000000</v>
      </c>
      <c r="D97" s="928">
        <f>SUM(D98)</f>
        <v>280000000000</v>
      </c>
      <c r="E97" s="928">
        <f t="shared" si="5"/>
        <v>-110000000000</v>
      </c>
      <c r="F97" s="166"/>
      <c r="G97" s="459"/>
      <c r="H97" s="168"/>
      <c r="I97" s="458"/>
      <c r="J97" s="152"/>
      <c r="K97" s="153"/>
      <c r="L97" s="153"/>
      <c r="N97" s="153"/>
      <c r="O97" s="150"/>
    </row>
    <row r="98" spans="1:14" s="147" customFormat="1" ht="15.75" customHeight="1">
      <c r="A98" s="178" t="s">
        <v>240</v>
      </c>
      <c r="B98" s="192"/>
      <c r="C98" s="916">
        <f>+C99+C100+C101+C102+C103+C104+C105+C106</f>
        <v>170000000000</v>
      </c>
      <c r="D98" s="916">
        <f>SUM(D99:D107)</f>
        <v>280000000000</v>
      </c>
      <c r="E98" s="916">
        <f t="shared" si="5"/>
        <v>-110000000000</v>
      </c>
      <c r="F98" s="181"/>
      <c r="G98" s="460"/>
      <c r="H98" s="182"/>
      <c r="I98" s="473"/>
      <c r="J98" s="152"/>
      <c r="K98" s="153"/>
      <c r="L98" s="153"/>
      <c r="N98" s="153"/>
    </row>
    <row r="99" spans="1:14" s="147" customFormat="1" ht="15.75" customHeight="1">
      <c r="A99" s="171"/>
      <c r="B99" s="186" t="s">
        <v>241</v>
      </c>
      <c r="C99" s="922">
        <v>100000000</v>
      </c>
      <c r="D99" s="913">
        <v>0</v>
      </c>
      <c r="E99" s="912">
        <f t="shared" si="5"/>
        <v>100000000</v>
      </c>
      <c r="F99" s="184"/>
      <c r="G99" s="190"/>
      <c r="H99" s="168"/>
      <c r="I99" s="191"/>
      <c r="J99" s="152"/>
      <c r="K99" s="153"/>
      <c r="L99" s="153"/>
      <c r="N99" s="153"/>
    </row>
    <row r="100" spans="1:14" s="147" customFormat="1" ht="15.75" customHeight="1">
      <c r="A100" s="171"/>
      <c r="B100" s="183" t="s">
        <v>1006</v>
      </c>
      <c r="C100" s="922">
        <f>94734336664+1079013230</f>
        <v>95813349894</v>
      </c>
      <c r="D100" s="910">
        <v>0</v>
      </c>
      <c r="E100" s="909">
        <f t="shared" si="5"/>
        <v>95813349894</v>
      </c>
      <c r="F100" s="166"/>
      <c r="G100" s="810"/>
      <c r="H100" s="241"/>
      <c r="I100" s="811"/>
      <c r="J100" s="152"/>
      <c r="K100" s="153"/>
      <c r="L100" s="153"/>
      <c r="N100" s="153"/>
    </row>
    <row r="101" spans="1:14" s="147" customFormat="1" ht="15.75" customHeight="1">
      <c r="A101" s="171" t="s">
        <v>240</v>
      </c>
      <c r="B101" s="165" t="s">
        <v>1007</v>
      </c>
      <c r="C101" s="914">
        <v>50000000000</v>
      </c>
      <c r="D101" s="915">
        <v>150000000000</v>
      </c>
      <c r="E101" s="914">
        <f t="shared" si="5"/>
        <v>-100000000000</v>
      </c>
      <c r="F101" s="721"/>
      <c r="G101" s="190"/>
      <c r="H101" s="168"/>
      <c r="I101" s="458"/>
      <c r="J101" s="152"/>
      <c r="K101" s="153"/>
      <c r="L101" s="153"/>
      <c r="N101" s="153"/>
    </row>
    <row r="102" spans="1:14" s="147" customFormat="1" ht="15.75" customHeight="1">
      <c r="A102" s="171"/>
      <c r="B102" s="183" t="s">
        <v>244</v>
      </c>
      <c r="C102" s="923">
        <v>21883371898</v>
      </c>
      <c r="D102" s="917">
        <v>0</v>
      </c>
      <c r="E102" s="912">
        <f t="shared" si="5"/>
        <v>21883371898</v>
      </c>
      <c r="F102" s="206"/>
      <c r="G102" s="244"/>
      <c r="H102" s="207"/>
      <c r="I102" s="245"/>
      <c r="J102" s="152" t="e">
        <f>#REF!-#REF!</f>
        <v>#REF!</v>
      </c>
      <c r="K102" s="153"/>
      <c r="L102" s="153"/>
      <c r="N102" s="153"/>
    </row>
    <row r="103" spans="1:14" s="147" customFormat="1" ht="15.75" customHeight="1">
      <c r="A103" s="171"/>
      <c r="B103" s="230" t="s">
        <v>245</v>
      </c>
      <c r="C103" s="909">
        <v>703278208</v>
      </c>
      <c r="D103" s="910">
        <v>0</v>
      </c>
      <c r="E103" s="909">
        <f t="shared" si="5"/>
        <v>703278208</v>
      </c>
      <c r="F103" s="184"/>
      <c r="G103" s="189"/>
      <c r="H103" s="185"/>
      <c r="I103" s="474"/>
      <c r="J103" s="152"/>
      <c r="K103" s="153"/>
      <c r="L103" s="153"/>
      <c r="N103" s="153"/>
    </row>
    <row r="104" spans="1:14" s="147" customFormat="1" ht="15.75" customHeight="1">
      <c r="A104" s="171"/>
      <c r="B104" s="165" t="s">
        <v>246</v>
      </c>
      <c r="C104" s="909">
        <v>500000000</v>
      </c>
      <c r="D104" s="910">
        <v>0</v>
      </c>
      <c r="E104" s="909">
        <f t="shared" si="5"/>
        <v>500000000</v>
      </c>
      <c r="F104" s="166"/>
      <c r="G104" s="459"/>
      <c r="H104" s="168"/>
      <c r="I104" s="458"/>
      <c r="J104" s="152"/>
      <c r="K104" s="153"/>
      <c r="L104" s="153"/>
      <c r="N104" s="153"/>
    </row>
    <row r="105" spans="1:14" s="147" customFormat="1" ht="15.75" customHeight="1">
      <c r="A105" s="171"/>
      <c r="B105" s="183" t="s">
        <v>1008</v>
      </c>
      <c r="C105" s="912">
        <v>1000000000</v>
      </c>
      <c r="D105" s="910">
        <v>0</v>
      </c>
      <c r="E105" s="912">
        <v>0</v>
      </c>
      <c r="F105" s="184"/>
      <c r="G105" s="189"/>
      <c r="H105" s="185"/>
      <c r="I105" s="474"/>
      <c r="J105" s="152"/>
      <c r="K105" s="153"/>
      <c r="L105" s="153"/>
      <c r="N105" s="153"/>
    </row>
    <row r="106" spans="1:14" s="147" customFormat="1" ht="15.75" customHeight="1">
      <c r="A106" s="171"/>
      <c r="B106" s="165" t="s">
        <v>247</v>
      </c>
      <c r="C106" s="909">
        <v>0</v>
      </c>
      <c r="D106" s="910">
        <v>130000000000</v>
      </c>
      <c r="E106" s="909">
        <f>C106-D106</f>
        <v>-130000000000</v>
      </c>
      <c r="F106" s="184"/>
      <c r="G106" s="472"/>
      <c r="H106" s="185"/>
      <c r="I106" s="458"/>
      <c r="J106" s="152"/>
      <c r="K106" s="153"/>
      <c r="L106" s="153"/>
      <c r="N106" s="153"/>
    </row>
    <row r="107" spans="1:14" s="147" customFormat="1" ht="15.75" customHeight="1">
      <c r="A107" s="178"/>
      <c r="B107" s="192"/>
      <c r="C107" s="916">
        <v>0</v>
      </c>
      <c r="D107" s="915">
        <v>0</v>
      </c>
      <c r="E107" s="916">
        <f>C107-D107</f>
        <v>0</v>
      </c>
      <c r="F107" s="847"/>
      <c r="G107" s="459"/>
      <c r="H107" s="168"/>
      <c r="I107" s="473"/>
      <c r="J107" s="152"/>
      <c r="K107" s="153"/>
      <c r="L107" s="153"/>
      <c r="N107" s="153"/>
    </row>
    <row r="108" spans="1:14" s="147" customFormat="1" ht="15.75" customHeight="1">
      <c r="A108" s="179" t="s">
        <v>248</v>
      </c>
      <c r="B108" s="180"/>
      <c r="C108" s="911">
        <f>SUM(C109)</f>
        <v>0</v>
      </c>
      <c r="D108" s="928">
        <f>SUM(D109)</f>
        <v>0</v>
      </c>
      <c r="E108" s="911">
        <f>C108-D108</f>
        <v>0</v>
      </c>
      <c r="F108" s="181"/>
      <c r="G108" s="460"/>
      <c r="H108" s="182"/>
      <c r="I108" s="473"/>
      <c r="J108" s="152"/>
      <c r="K108" s="153"/>
      <c r="L108" s="153"/>
      <c r="N108" s="153"/>
    </row>
    <row r="109" spans="1:14" s="147" customFormat="1" ht="15.75" customHeight="1">
      <c r="A109" s="164" t="s">
        <v>249</v>
      </c>
      <c r="B109" s="165"/>
      <c r="C109" s="909">
        <f>SUM(C110)</f>
        <v>0</v>
      </c>
      <c r="D109" s="909">
        <f>SUM(D110)</f>
        <v>0</v>
      </c>
      <c r="E109" s="909">
        <f>C109-D109</f>
        <v>0</v>
      </c>
      <c r="F109" s="166"/>
      <c r="G109" s="459"/>
      <c r="H109" s="168"/>
      <c r="I109" s="458"/>
      <c r="J109" s="152"/>
      <c r="K109" s="153"/>
      <c r="L109" s="153"/>
      <c r="N109" s="153"/>
    </row>
    <row r="110" spans="1:14" s="147" customFormat="1" ht="15.75" customHeight="1">
      <c r="A110" s="164"/>
      <c r="B110" s="165" t="s">
        <v>250</v>
      </c>
      <c r="C110" s="909">
        <f>+I110</f>
        <v>0</v>
      </c>
      <c r="D110" s="916">
        <v>0</v>
      </c>
      <c r="E110" s="909">
        <f>C110-D110</f>
        <v>0</v>
      </c>
      <c r="F110" s="166"/>
      <c r="G110" s="459"/>
      <c r="H110" s="168"/>
      <c r="I110" s="458"/>
      <c r="J110" s="152"/>
      <c r="K110" s="153"/>
      <c r="L110" s="153"/>
      <c r="N110" s="153"/>
    </row>
    <row r="111" spans="1:15" s="147" customFormat="1" ht="15.75" customHeight="1">
      <c r="A111" s="179" t="s">
        <v>251</v>
      </c>
      <c r="B111" s="180"/>
      <c r="C111" s="911">
        <f>SUM(C112+C115)</f>
        <v>0</v>
      </c>
      <c r="D111" s="928">
        <v>0</v>
      </c>
      <c r="E111" s="928">
        <f aca="true" t="shared" si="6" ref="E111:E120">C111-D111</f>
        <v>0</v>
      </c>
      <c r="F111" s="181"/>
      <c r="G111" s="460"/>
      <c r="H111" s="182"/>
      <c r="I111" s="473"/>
      <c r="J111" s="152"/>
      <c r="K111" s="153"/>
      <c r="L111" s="153"/>
      <c r="N111" s="153"/>
      <c r="O111" s="150"/>
    </row>
    <row r="112" spans="1:14" s="147" customFormat="1" ht="15.75" customHeight="1">
      <c r="A112" s="164" t="s">
        <v>252</v>
      </c>
      <c r="B112" s="165"/>
      <c r="C112" s="909">
        <f>SUM(C113:C114)</f>
        <v>0</v>
      </c>
      <c r="D112" s="909">
        <v>0</v>
      </c>
      <c r="E112" s="909">
        <f t="shared" si="6"/>
        <v>0</v>
      </c>
      <c r="F112" s="166"/>
      <c r="G112" s="459"/>
      <c r="H112" s="168"/>
      <c r="I112" s="458"/>
      <c r="J112" s="152"/>
      <c r="K112" s="153"/>
      <c r="L112" s="153"/>
      <c r="N112" s="153"/>
    </row>
    <row r="113" spans="1:14" s="147" customFormat="1" ht="15.75" customHeight="1">
      <c r="A113" s="170"/>
      <c r="B113" s="165" t="s">
        <v>253</v>
      </c>
      <c r="C113" s="909">
        <f>+I113</f>
        <v>0</v>
      </c>
      <c r="D113" s="909">
        <v>0</v>
      </c>
      <c r="E113" s="909">
        <f t="shared" si="6"/>
        <v>0</v>
      </c>
      <c r="F113" s="168"/>
      <c r="G113" s="459"/>
      <c r="H113" s="168"/>
      <c r="I113" s="458"/>
      <c r="J113" s="152"/>
      <c r="K113" s="153"/>
      <c r="L113" s="153"/>
      <c r="N113" s="153"/>
    </row>
    <row r="114" spans="1:14" s="147" customFormat="1" ht="15.75" customHeight="1">
      <c r="A114" s="178"/>
      <c r="B114" s="165" t="s">
        <v>254</v>
      </c>
      <c r="C114" s="909">
        <f>+I114</f>
        <v>0</v>
      </c>
      <c r="D114" s="909">
        <v>0</v>
      </c>
      <c r="E114" s="909">
        <f t="shared" si="6"/>
        <v>0</v>
      </c>
      <c r="F114" s="166"/>
      <c r="G114" s="459"/>
      <c r="H114" s="168"/>
      <c r="I114" s="458"/>
      <c r="J114" s="152"/>
      <c r="K114" s="153"/>
      <c r="L114" s="153"/>
      <c r="N114" s="153"/>
    </row>
    <row r="115" spans="1:14" s="147" customFormat="1" ht="15.75" customHeight="1">
      <c r="A115" s="178" t="s">
        <v>255</v>
      </c>
      <c r="B115" s="192"/>
      <c r="C115" s="911">
        <f>SUM(C116:C118)</f>
        <v>0</v>
      </c>
      <c r="D115" s="911">
        <f>SUM(D116:D118)</f>
        <v>0</v>
      </c>
      <c r="E115" s="928">
        <f t="shared" si="6"/>
        <v>0</v>
      </c>
      <c r="F115" s="181"/>
      <c r="G115" s="460"/>
      <c r="H115" s="182"/>
      <c r="I115" s="473"/>
      <c r="J115" s="152"/>
      <c r="K115" s="153"/>
      <c r="L115" s="153"/>
      <c r="N115" s="153"/>
    </row>
    <row r="116" spans="1:14" s="147" customFormat="1" ht="15.75" customHeight="1">
      <c r="A116" s="170"/>
      <c r="B116" s="183" t="s">
        <v>1009</v>
      </c>
      <c r="C116" s="912">
        <f>+I116</f>
        <v>0</v>
      </c>
      <c r="D116" s="912">
        <v>0</v>
      </c>
      <c r="E116" s="912">
        <f t="shared" si="6"/>
        <v>0</v>
      </c>
      <c r="F116" s="184"/>
      <c r="G116" s="189"/>
      <c r="H116" s="185"/>
      <c r="I116" s="474"/>
      <c r="J116" s="152">
        <f>D117</f>
        <v>0</v>
      </c>
      <c r="K116" s="153"/>
      <c r="L116" s="153"/>
      <c r="N116" s="153"/>
    </row>
    <row r="117" spans="1:14" s="147" customFormat="1" ht="15.75" customHeight="1">
      <c r="A117" s="171"/>
      <c r="B117" s="165" t="s">
        <v>257</v>
      </c>
      <c r="C117" s="909">
        <f>+I117</f>
        <v>0</v>
      </c>
      <c r="D117" s="912">
        <v>0</v>
      </c>
      <c r="E117" s="909">
        <f t="shared" si="6"/>
        <v>0</v>
      </c>
      <c r="F117" s="166"/>
      <c r="G117" s="459"/>
      <c r="H117" s="168"/>
      <c r="I117" s="458"/>
      <c r="J117" s="152"/>
      <c r="K117" s="153"/>
      <c r="L117" s="153"/>
      <c r="N117" s="153"/>
    </row>
    <row r="118" spans="1:14" s="147" customFormat="1" ht="15.75" customHeight="1">
      <c r="A118" s="171"/>
      <c r="B118" s="183" t="s">
        <v>258</v>
      </c>
      <c r="C118" s="912">
        <f>+I118</f>
        <v>0</v>
      </c>
      <c r="D118" s="912">
        <v>0</v>
      </c>
      <c r="E118" s="912">
        <f t="shared" si="6"/>
        <v>0</v>
      </c>
      <c r="F118" s="184" t="s">
        <v>20</v>
      </c>
      <c r="G118" s="189"/>
      <c r="H118" s="185"/>
      <c r="I118" s="474"/>
      <c r="J118" s="152"/>
      <c r="K118" s="153"/>
      <c r="L118" s="153"/>
      <c r="N118" s="153"/>
    </row>
    <row r="119" spans="1:14" s="147" customFormat="1" ht="15.75" customHeight="1">
      <c r="A119" s="231" t="s">
        <v>259</v>
      </c>
      <c r="B119" s="232"/>
      <c r="C119" s="932">
        <f>'2020년추경예산안수입 (의정부)'!C62-C5-C22-C69-C73-C80-C86-C89-C97-C108-C111</f>
        <v>5606542522</v>
      </c>
      <c r="D119" s="932">
        <v>-95707000000</v>
      </c>
      <c r="E119" s="932">
        <f t="shared" si="6"/>
        <v>101313542522</v>
      </c>
      <c r="F119" s="233" t="s">
        <v>1010</v>
      </c>
      <c r="G119" s="234"/>
      <c r="H119" s="235"/>
      <c r="I119" s="236">
        <f>C119</f>
        <v>5606542522</v>
      </c>
      <c r="J119" s="152"/>
      <c r="K119" s="153"/>
      <c r="L119" s="153"/>
      <c r="N119" s="153"/>
    </row>
    <row r="120" spans="1:15" s="147" customFormat="1" ht="15.75" customHeight="1">
      <c r="A120" s="237" t="s">
        <v>1011</v>
      </c>
      <c r="B120" s="238"/>
      <c r="C120" s="933">
        <f>SUM(C5+C22+C69+C73+C80+C86+C89+C97+C108+C111+C119)</f>
        <v>127776852522</v>
      </c>
      <c r="D120" s="933">
        <f>SUM(D5+D22+D69+D73+D80+D86+D89+D97+D108+D111+D119)</f>
        <v>203293000000</v>
      </c>
      <c r="E120" s="932">
        <f t="shared" si="6"/>
        <v>-75516147478</v>
      </c>
      <c r="F120" s="222"/>
      <c r="G120" s="223"/>
      <c r="H120" s="224"/>
      <c r="I120" s="225"/>
      <c r="J120" s="152" t="e">
        <f>SUM(J5:J119)</f>
        <v>#REF!</v>
      </c>
      <c r="K120" s="153"/>
      <c r="L120" s="153"/>
      <c r="N120" s="153"/>
      <c r="O120" s="150"/>
    </row>
    <row r="121" spans="1:2" ht="13.5">
      <c r="A121" s="141"/>
      <c r="B121" s="141"/>
    </row>
    <row r="122" spans="1:2" ht="13.5">
      <c r="A122" s="141"/>
      <c r="B122" s="141"/>
    </row>
    <row r="123" spans="1:4" ht="13.5">
      <c r="A123" s="141"/>
      <c r="B123" s="141"/>
      <c r="C123" s="239"/>
      <c r="D123" s="239"/>
    </row>
    <row r="125" ht="13.5">
      <c r="E125" s="144">
        <v>10000000</v>
      </c>
    </row>
    <row r="126" spans="3:7" ht="13.5">
      <c r="C126" s="240">
        <f>+D126/209</f>
        <v>2392.3444976076553</v>
      </c>
      <c r="D126" s="240">
        <f>+$E$125*E126</f>
        <v>500000</v>
      </c>
      <c r="E126" s="484">
        <v>0.05</v>
      </c>
      <c r="G126" s="144">
        <v>100000000</v>
      </c>
    </row>
    <row r="127" spans="3:5" ht="13.5">
      <c r="C127" s="240">
        <f>+D127/209</f>
        <v>1995.2153110047848</v>
      </c>
      <c r="D127" s="240">
        <f>+$E$125*E127</f>
        <v>417000</v>
      </c>
      <c r="E127" s="484">
        <v>0.0417</v>
      </c>
    </row>
    <row r="128" spans="3:12" ht="13.5">
      <c r="C128" s="240">
        <f>+D128/209</f>
        <v>5263.1578947368425</v>
      </c>
      <c r="D128" s="240">
        <f>+$E$125*E128</f>
        <v>1100000</v>
      </c>
      <c r="E128" s="483">
        <v>0.11</v>
      </c>
      <c r="L128" s="146">
        <v>2000000</v>
      </c>
    </row>
    <row r="129" ht="13.5">
      <c r="L129" s="146">
        <v>24</v>
      </c>
    </row>
    <row r="130" ht="13.5">
      <c r="L130" s="146">
        <f>+L128*L129</f>
        <v>48000000</v>
      </c>
    </row>
    <row r="132" ht="13.5">
      <c r="C132" s="144">
        <f>+C5+C22+C73+C86+C89+C97</f>
        <v>122170310000</v>
      </c>
    </row>
    <row r="133" ht="13.5">
      <c r="D133" s="144" t="s">
        <v>1148</v>
      </c>
    </row>
  </sheetData>
  <sheetProtection/>
  <mergeCells count="8">
    <mergeCell ref="L63:L65"/>
    <mergeCell ref="L67:M68"/>
    <mergeCell ref="C3:C4"/>
    <mergeCell ref="D3:D4"/>
    <mergeCell ref="E3:E4"/>
    <mergeCell ref="F3:I4"/>
    <mergeCell ref="J3:J4"/>
    <mergeCell ref="L24:L53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8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9"/>
  <sheetViews>
    <sheetView zoomScale="70" zoomScaleNormal="70" zoomScalePageLayoutView="0" workbookViewId="0" topLeftCell="A40">
      <selection activeCell="B77" sqref="B77"/>
    </sheetView>
  </sheetViews>
  <sheetFormatPr defaultColWidth="8.88671875" defaultRowHeight="13.5"/>
  <cols>
    <col min="1" max="1" width="27.3359375" style="601" bestFit="1" customWidth="1"/>
    <col min="2" max="2" width="13.10546875" style="601" customWidth="1"/>
    <col min="3" max="3" width="15.5546875" style="601" customWidth="1"/>
    <col min="4" max="4" width="18.3359375" style="601" customWidth="1"/>
    <col min="5" max="5" width="18.3359375" style="266" customWidth="1"/>
    <col min="6" max="6" width="18.6640625" style="266" bestFit="1" customWidth="1"/>
    <col min="7" max="7" width="17.77734375" style="266" customWidth="1"/>
    <col min="8" max="8" width="18.5546875" style="266" customWidth="1"/>
    <col min="9" max="9" width="20.77734375" style="266" bestFit="1" customWidth="1"/>
    <col min="10" max="10" width="43.6640625" style="354" customWidth="1"/>
    <col min="11" max="11" width="15.10546875" style="555" customWidth="1"/>
    <col min="12" max="13" width="17.88671875" style="620" bestFit="1" customWidth="1"/>
    <col min="14" max="14" width="16.77734375" style="620" bestFit="1" customWidth="1"/>
    <col min="15" max="16" width="17.88671875" style="620" bestFit="1" customWidth="1"/>
    <col min="17" max="16384" width="8.88671875" style="601" customWidth="1"/>
  </cols>
  <sheetData>
    <row r="1" spans="1:10" ht="60" customHeight="1">
      <c r="A1" s="1051" t="s">
        <v>580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935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25.5" customHeight="1">
      <c r="A3" s="265" t="s">
        <v>934</v>
      </c>
      <c r="J3" s="267" t="s">
        <v>394</v>
      </c>
    </row>
    <row r="4" spans="1:16" s="794" customFormat="1" ht="28.5" customHeight="1">
      <c r="A4" s="268"/>
      <c r="B4" s="269" t="s">
        <v>395</v>
      </c>
      <c r="C4" s="269"/>
      <c r="D4" s="1052" t="s">
        <v>583</v>
      </c>
      <c r="E4" s="1054" t="s">
        <v>792</v>
      </c>
      <c r="F4" s="1056" t="s">
        <v>396</v>
      </c>
      <c r="G4" s="1058" t="s">
        <v>397</v>
      </c>
      <c r="H4" s="1060" t="s">
        <v>793</v>
      </c>
      <c r="I4" s="270" t="s">
        <v>398</v>
      </c>
      <c r="J4" s="1062" t="s">
        <v>399</v>
      </c>
      <c r="K4" s="271"/>
      <c r="L4" s="806"/>
      <c r="M4" s="806"/>
      <c r="N4" s="806"/>
      <c r="O4" s="806"/>
      <c r="P4" s="806"/>
    </row>
    <row r="5" spans="1:10" ht="28.5" customHeight="1">
      <c r="A5" s="272" t="s">
        <v>400</v>
      </c>
      <c r="B5" s="273" t="s">
        <v>401</v>
      </c>
      <c r="C5" s="274" t="s">
        <v>3</v>
      </c>
      <c r="D5" s="1053"/>
      <c r="E5" s="1055"/>
      <c r="F5" s="1057"/>
      <c r="G5" s="1059"/>
      <c r="H5" s="1061"/>
      <c r="I5" s="275" t="s">
        <v>402</v>
      </c>
      <c r="J5" s="1063"/>
    </row>
    <row r="6" spans="1:16" ht="32.25" customHeight="1">
      <c r="A6" s="276" t="s">
        <v>403</v>
      </c>
      <c r="B6" s="277"/>
      <c r="C6" s="277"/>
      <c r="D6" s="278">
        <f>D7+D12+D25+D33+D36+D44+D50+D53</f>
        <v>509328999999.54004</v>
      </c>
      <c r="E6" s="278">
        <f>E7+E12+E25+E33+E36+E44+E50+E53</f>
        <v>294179017812</v>
      </c>
      <c r="F6" s="278">
        <f>F7+F12+F25+F33+F36+F44+F50+F53</f>
        <v>156312834710</v>
      </c>
      <c r="G6" s="279">
        <f>G7+G12+G25+G33+G36+G44+G50+G53</f>
        <v>450491852522</v>
      </c>
      <c r="H6" s="280">
        <f>H7+H12+H25+H33+H36+H44+H50+H53</f>
        <v>467245303801.54004</v>
      </c>
      <c r="I6" s="281">
        <f>H6-D6</f>
        <v>-42083696198</v>
      </c>
      <c r="J6" s="282" t="s">
        <v>20</v>
      </c>
      <c r="L6" s="620">
        <f>+'20년 추경수입(대전)'!D6+'20년 추경수입(의정부)'!D6</f>
        <v>509328999999.54004</v>
      </c>
      <c r="M6" s="620">
        <f>+'20년 추경수입(대전)'!E6+'20년 추경수입(의정부)'!E6</f>
        <v>294179017812</v>
      </c>
      <c r="N6" s="620">
        <f>+'20년 추경수입(대전)'!F6+'20년 추경수입(의정부)'!F6</f>
        <v>156312834710</v>
      </c>
      <c r="O6" s="620">
        <f>+'20년 추경수입(대전)'!G6+'20년 추경수입(의정부)'!G6</f>
        <v>450491852522</v>
      </c>
      <c r="P6" s="620">
        <f>+'20년 추경수입(대전)'!H6+'20년 추경수입(의정부)'!H6</f>
        <v>467245303801.54004</v>
      </c>
    </row>
    <row r="7" spans="1:16" s="291" customFormat="1" ht="32.25" customHeight="1">
      <c r="A7" s="283" t="s">
        <v>404</v>
      </c>
      <c r="B7" s="284"/>
      <c r="C7" s="284"/>
      <c r="D7" s="285">
        <f>D8</f>
        <v>208151503439.54</v>
      </c>
      <c r="E7" s="285">
        <f>E8</f>
        <v>138904032000</v>
      </c>
      <c r="F7" s="285">
        <f>F8</f>
        <v>52494020160</v>
      </c>
      <c r="G7" s="286">
        <f>G8</f>
        <v>191398052160</v>
      </c>
      <c r="H7" s="287">
        <f>H8</f>
        <v>208151503439.54</v>
      </c>
      <c r="I7" s="288">
        <f aca="true" t="shared" si="0" ref="I7:I51">H7-D7</f>
        <v>0</v>
      </c>
      <c r="J7" s="289"/>
      <c r="K7" s="290"/>
      <c r="L7" s="807">
        <f>+D6-L6</f>
        <v>0</v>
      </c>
      <c r="M7" s="807">
        <f>+E6-M6</f>
        <v>0</v>
      </c>
      <c r="N7" s="807">
        <f>+F6-N6</f>
        <v>0</v>
      </c>
      <c r="O7" s="807">
        <f>+G6-O6</f>
        <v>0</v>
      </c>
      <c r="P7" s="807">
        <f>+H6-P6</f>
        <v>0</v>
      </c>
    </row>
    <row r="8" spans="1:10" ht="32.25" customHeight="1">
      <c r="A8" s="292"/>
      <c r="B8" s="277" t="s">
        <v>405</v>
      </c>
      <c r="C8" s="293"/>
      <c r="D8" s="294">
        <f>SUM(D9:D11)</f>
        <v>208151503439.54</v>
      </c>
      <c r="E8" s="294">
        <f>SUM(E9:E11)</f>
        <v>138904032000</v>
      </c>
      <c r="F8" s="294">
        <f>SUM(F9:F11)</f>
        <v>52494020160</v>
      </c>
      <c r="G8" s="295">
        <f>SUM(G9:G11)</f>
        <v>191398052160</v>
      </c>
      <c r="H8" s="296">
        <f>SUM(H9:H11)</f>
        <v>208151503439.54</v>
      </c>
      <c r="I8" s="297">
        <f t="shared" si="0"/>
        <v>0</v>
      </c>
      <c r="J8" s="298" t="s">
        <v>20</v>
      </c>
    </row>
    <row r="9" spans="1:10" ht="32.25" customHeight="1">
      <c r="A9" s="292"/>
      <c r="B9" s="277"/>
      <c r="C9" s="293" t="s">
        <v>9</v>
      </c>
      <c r="D9" s="736">
        <f>+'[4]2019년 본예산수입'!C9</f>
        <v>128333503439.54001</v>
      </c>
      <c r="E9" s="739">
        <v>86928119000</v>
      </c>
      <c r="F9" s="736">
        <v>32000833160</v>
      </c>
      <c r="G9" s="301">
        <f>+F9+E9</f>
        <v>118928952160</v>
      </c>
      <c r="H9" s="302">
        <f>+IF(D9&gt;G9,D9,G9)</f>
        <v>128333503439.54001</v>
      </c>
      <c r="I9" s="303">
        <f t="shared" si="0"/>
        <v>0</v>
      </c>
      <c r="J9" s="304" t="s">
        <v>20</v>
      </c>
    </row>
    <row r="10" spans="1:10" ht="32.25" customHeight="1">
      <c r="A10" s="292"/>
      <c r="B10" s="277"/>
      <c r="C10" s="305" t="s">
        <v>406</v>
      </c>
      <c r="D10" s="736">
        <f>+'[4]2019년 본예산수입'!C28</f>
        <v>70458000000</v>
      </c>
      <c r="E10" s="739">
        <v>46247369000</v>
      </c>
      <c r="F10" s="736">
        <v>19000731000</v>
      </c>
      <c r="G10" s="301">
        <f>+E10+F10</f>
        <v>65248100000</v>
      </c>
      <c r="H10" s="302">
        <f>+IF(D10&gt;G10,D10,G10)</f>
        <v>70458000000</v>
      </c>
      <c r="I10" s="303">
        <f t="shared" si="0"/>
        <v>0</v>
      </c>
      <c r="J10" s="306"/>
    </row>
    <row r="11" spans="1:10" ht="32.25" customHeight="1">
      <c r="A11" s="292"/>
      <c r="B11" s="277"/>
      <c r="C11" s="277" t="s">
        <v>407</v>
      </c>
      <c r="D11" s="307">
        <f>+'[4]2019년 본예산수입'!C47</f>
        <v>9360000000</v>
      </c>
      <c r="E11" s="490">
        <v>5728544000</v>
      </c>
      <c r="F11" s="736">
        <v>1492456000</v>
      </c>
      <c r="G11" s="301">
        <f>+F11+E11</f>
        <v>7221000000</v>
      </c>
      <c r="H11" s="302">
        <f>+IF(D11&gt;G11,D11,G11)</f>
        <v>9360000000</v>
      </c>
      <c r="I11" s="308">
        <f t="shared" si="0"/>
        <v>0</v>
      </c>
      <c r="J11" s="602" t="s">
        <v>848</v>
      </c>
    </row>
    <row r="12" spans="1:16" s="291" customFormat="1" ht="32.25" customHeight="1">
      <c r="A12" s="283" t="s">
        <v>408</v>
      </c>
      <c r="B12" s="284"/>
      <c r="C12" s="284"/>
      <c r="D12" s="285">
        <f>D13+D19+D23</f>
        <v>32045000000</v>
      </c>
      <c r="E12" s="309">
        <f>E13+E19+E23</f>
        <v>6287114823</v>
      </c>
      <c r="F12" s="309">
        <f>F13+F19+F23</f>
        <v>11857885177</v>
      </c>
      <c r="G12" s="310">
        <f>G13+G19+G23</f>
        <v>18145000000</v>
      </c>
      <c r="H12" s="311">
        <f>H13+H19+H23</f>
        <v>18145000000</v>
      </c>
      <c r="I12" s="312">
        <f t="shared" si="0"/>
        <v>-13900000000</v>
      </c>
      <c r="J12" s="289"/>
      <c r="K12" s="290"/>
      <c r="L12" s="807"/>
      <c r="M12" s="807"/>
      <c r="N12" s="807"/>
      <c r="O12" s="807"/>
      <c r="P12" s="807"/>
    </row>
    <row r="13" spans="1:10" ht="32.25" customHeight="1">
      <c r="A13" s="276"/>
      <c r="B13" s="277" t="s">
        <v>409</v>
      </c>
      <c r="C13" s="293"/>
      <c r="D13" s="294">
        <f>SUM(D14:D18)</f>
        <v>30000000000</v>
      </c>
      <c r="E13" s="313">
        <f>SUM(E14:E18)</f>
        <v>4583850000</v>
      </c>
      <c r="F13" s="313">
        <f>SUM(F14:F18)</f>
        <v>10416150000</v>
      </c>
      <c r="G13" s="314">
        <f>SUM(G14:G18)</f>
        <v>15000000000</v>
      </c>
      <c r="H13" s="296">
        <f>SUM(H14:H18)</f>
        <v>15000000000</v>
      </c>
      <c r="I13" s="315">
        <f t="shared" si="0"/>
        <v>-15000000000</v>
      </c>
      <c r="J13" s="316"/>
    </row>
    <row r="14" spans="1:10" ht="32.25" customHeight="1">
      <c r="A14" s="292"/>
      <c r="B14" s="277"/>
      <c r="C14" s="293" t="s">
        <v>410</v>
      </c>
      <c r="D14" s="736">
        <v>0</v>
      </c>
      <c r="E14" s="739">
        <v>0</v>
      </c>
      <c r="F14" s="736">
        <v>0</v>
      </c>
      <c r="G14" s="301">
        <f>F14+E14</f>
        <v>0</v>
      </c>
      <c r="H14" s="302">
        <f>+IF(D14&gt;G14,D14,G14)</f>
        <v>0</v>
      </c>
      <c r="I14" s="317">
        <f t="shared" si="0"/>
        <v>0</v>
      </c>
      <c r="J14" s="318"/>
    </row>
    <row r="15" spans="1:10" ht="32.25" customHeight="1">
      <c r="A15" s="292"/>
      <c r="B15" s="277"/>
      <c r="C15" s="293" t="s">
        <v>411</v>
      </c>
      <c r="D15" s="736">
        <v>0</v>
      </c>
      <c r="E15" s="739">
        <v>0</v>
      </c>
      <c r="F15" s="736">
        <v>0</v>
      </c>
      <c r="G15" s="301">
        <f>F15+E15</f>
        <v>0</v>
      </c>
      <c r="H15" s="302">
        <f>+IF(D15&gt;G15,D15,G15)</f>
        <v>0</v>
      </c>
      <c r="I15" s="317">
        <f t="shared" si="0"/>
        <v>0</v>
      </c>
      <c r="J15" s="318"/>
    </row>
    <row r="16" spans="1:10" ht="32.25" customHeight="1">
      <c r="A16" s="292"/>
      <c r="B16" s="277"/>
      <c r="C16" s="293" t="s">
        <v>849</v>
      </c>
      <c r="D16" s="736">
        <v>30000000000</v>
      </c>
      <c r="E16" s="739">
        <v>4583850000</v>
      </c>
      <c r="F16" s="736">
        <v>10416150000</v>
      </c>
      <c r="G16" s="301">
        <f>F16+E16</f>
        <v>15000000000</v>
      </c>
      <c r="H16" s="302">
        <f>+G16</f>
        <v>15000000000</v>
      </c>
      <c r="I16" s="317">
        <f t="shared" si="0"/>
        <v>-15000000000</v>
      </c>
      <c r="J16" s="318"/>
    </row>
    <row r="17" spans="1:10" ht="32.25" customHeight="1">
      <c r="A17" s="292"/>
      <c r="B17" s="277"/>
      <c r="C17" s="319" t="s">
        <v>412</v>
      </c>
      <c r="D17" s="320">
        <v>0</v>
      </c>
      <c r="E17" s="739">
        <v>0</v>
      </c>
      <c r="F17" s="736">
        <v>0</v>
      </c>
      <c r="G17" s="301">
        <f>F17+E17</f>
        <v>0</v>
      </c>
      <c r="H17" s="302">
        <f>+IF(D17&gt;G17,D17,G17)</f>
        <v>0</v>
      </c>
      <c r="I17" s="317">
        <f t="shared" si="0"/>
        <v>0</v>
      </c>
      <c r="J17" s="321"/>
    </row>
    <row r="18" spans="1:10" ht="32.25" customHeight="1">
      <c r="A18" s="292"/>
      <c r="B18" s="277"/>
      <c r="C18" s="293" t="s">
        <v>850</v>
      </c>
      <c r="D18" s="736">
        <v>0</v>
      </c>
      <c r="E18" s="785">
        <v>0</v>
      </c>
      <c r="F18" s="736">
        <v>0</v>
      </c>
      <c r="G18" s="301">
        <f>F18+E18</f>
        <v>0</v>
      </c>
      <c r="H18" s="302">
        <f>+IF(D18&gt;G18,D18,G18)</f>
        <v>0</v>
      </c>
      <c r="I18" s="317">
        <f t="shared" si="0"/>
        <v>0</v>
      </c>
      <c r="J18" s="323"/>
    </row>
    <row r="19" spans="1:10" ht="32.25" customHeight="1">
      <c r="A19" s="292"/>
      <c r="B19" s="324" t="s">
        <v>414</v>
      </c>
      <c r="C19" s="277"/>
      <c r="D19" s="736">
        <f>SUM(D20:D22)</f>
        <v>2045000000</v>
      </c>
      <c r="E19" s="739">
        <f>SUM(E20:E22)</f>
        <v>1703264823</v>
      </c>
      <c r="F19" s="739">
        <f>SUM(F20:F22)</f>
        <v>1441735177</v>
      </c>
      <c r="G19" s="301">
        <f>SUM(G20:G22)</f>
        <v>3145000000</v>
      </c>
      <c r="H19" s="325">
        <f>SUM(H20:H22)</f>
        <v>3145000000</v>
      </c>
      <c r="I19" s="303">
        <f t="shared" si="0"/>
        <v>1100000000</v>
      </c>
      <c r="J19" s="318"/>
    </row>
    <row r="20" spans="1:10" ht="53.25" customHeight="1">
      <c r="A20" s="292"/>
      <c r="B20" s="277"/>
      <c r="C20" s="324" t="s">
        <v>415</v>
      </c>
      <c r="D20" s="736">
        <f>+'[4]2019년 본예산수입'!C55</f>
        <v>2045000000</v>
      </c>
      <c r="E20" s="736">
        <v>1703264823</v>
      </c>
      <c r="F20" s="736">
        <v>1441735177</v>
      </c>
      <c r="G20" s="301">
        <f>+E20+F20</f>
        <v>3145000000</v>
      </c>
      <c r="H20" s="302">
        <f>+G20</f>
        <v>3145000000</v>
      </c>
      <c r="I20" s="303">
        <f t="shared" si="0"/>
        <v>1100000000</v>
      </c>
      <c r="J20" s="733" t="s">
        <v>851</v>
      </c>
    </row>
    <row r="21" spans="1:10" ht="32.25" customHeight="1">
      <c r="A21" s="292"/>
      <c r="B21" s="277"/>
      <c r="C21" s="324" t="s">
        <v>416</v>
      </c>
      <c r="D21" s="736">
        <v>0</v>
      </c>
      <c r="E21" s="736">
        <v>0</v>
      </c>
      <c r="F21" s="736">
        <v>0</v>
      </c>
      <c r="G21" s="301">
        <f>F21+E21</f>
        <v>0</v>
      </c>
      <c r="H21" s="302">
        <f>+IF(D21&gt;G21,D21,G21)</f>
        <v>0</v>
      </c>
      <c r="I21" s="317">
        <f t="shared" si="0"/>
        <v>0</v>
      </c>
      <c r="J21" s="733" t="s">
        <v>20</v>
      </c>
    </row>
    <row r="22" spans="1:10" ht="32.25" customHeight="1">
      <c r="A22" s="292"/>
      <c r="B22" s="277"/>
      <c r="C22" s="324" t="s">
        <v>417</v>
      </c>
      <c r="D22" s="736">
        <v>0</v>
      </c>
      <c r="E22" s="736">
        <v>0</v>
      </c>
      <c r="F22" s="736">
        <v>0</v>
      </c>
      <c r="G22" s="301">
        <f>F22+E22</f>
        <v>0</v>
      </c>
      <c r="H22" s="302">
        <f>+IF(D22&gt;G22,D22,G22)</f>
        <v>0</v>
      </c>
      <c r="I22" s="317">
        <f t="shared" si="0"/>
        <v>0</v>
      </c>
      <c r="J22" s="733" t="s">
        <v>20</v>
      </c>
    </row>
    <row r="23" spans="1:10" ht="32.25" customHeight="1">
      <c r="A23" s="292"/>
      <c r="B23" s="324" t="s">
        <v>418</v>
      </c>
      <c r="C23" s="305"/>
      <c r="D23" s="736">
        <f>D24</f>
        <v>0</v>
      </c>
      <c r="E23" s="739">
        <f>E24</f>
        <v>0</v>
      </c>
      <c r="F23" s="739">
        <f>F24</f>
        <v>0</v>
      </c>
      <c r="G23" s="301">
        <f>G24</f>
        <v>0</v>
      </c>
      <c r="H23" s="325">
        <f>H24</f>
        <v>0</v>
      </c>
      <c r="I23" s="317">
        <f t="shared" si="0"/>
        <v>0</v>
      </c>
      <c r="J23" s="318"/>
    </row>
    <row r="24" spans="1:10" ht="32.25" customHeight="1">
      <c r="A24" s="292"/>
      <c r="B24" s="277"/>
      <c r="C24" s="277" t="s">
        <v>419</v>
      </c>
      <c r="D24" s="736">
        <v>0</v>
      </c>
      <c r="E24" s="736">
        <v>0</v>
      </c>
      <c r="F24" s="736">
        <v>0</v>
      </c>
      <c r="G24" s="301">
        <f>F24+E24</f>
        <v>0</v>
      </c>
      <c r="H24" s="302">
        <f>+IF(D24&gt;G24,D24,G24)</f>
        <v>0</v>
      </c>
      <c r="I24" s="327">
        <f t="shared" si="0"/>
        <v>0</v>
      </c>
      <c r="J24" s="738" t="s">
        <v>20</v>
      </c>
    </row>
    <row r="25" spans="1:16" s="291" customFormat="1" ht="32.25" customHeight="1">
      <c r="A25" s="283" t="s">
        <v>420</v>
      </c>
      <c r="B25" s="284"/>
      <c r="C25" s="284"/>
      <c r="D25" s="285">
        <f>D26+D30</f>
        <v>4600000000</v>
      </c>
      <c r="E25" s="309">
        <f>E26+E30</f>
        <v>3226017715</v>
      </c>
      <c r="F25" s="309">
        <f>F26+F30</f>
        <v>1373982285</v>
      </c>
      <c r="G25" s="310">
        <f>G26+G30</f>
        <v>4600000000</v>
      </c>
      <c r="H25" s="311">
        <f>H26+H30</f>
        <v>4600000000</v>
      </c>
      <c r="I25" s="312">
        <f t="shared" si="0"/>
        <v>0</v>
      </c>
      <c r="J25" s="289"/>
      <c r="K25" s="290"/>
      <c r="L25" s="807"/>
      <c r="M25" s="807"/>
      <c r="N25" s="807"/>
      <c r="O25" s="807"/>
      <c r="P25" s="807"/>
    </row>
    <row r="26" spans="1:10" ht="32.25" customHeight="1">
      <c r="A26" s="292"/>
      <c r="B26" s="277" t="s">
        <v>421</v>
      </c>
      <c r="C26" s="293"/>
      <c r="D26" s="294">
        <f>SUM(D27:D29)</f>
        <v>1800000000</v>
      </c>
      <c r="E26" s="313">
        <f>SUM(E27:E29)</f>
        <v>1015052571</v>
      </c>
      <c r="F26" s="313">
        <f>SUM(F27:F29)</f>
        <v>384947429</v>
      </c>
      <c r="G26" s="314">
        <f>SUM(G27:G29)</f>
        <v>1400000000</v>
      </c>
      <c r="H26" s="296">
        <f>SUM(H27:H29)</f>
        <v>1400000000</v>
      </c>
      <c r="I26" s="297">
        <f t="shared" si="0"/>
        <v>-400000000</v>
      </c>
      <c r="J26" s="316"/>
    </row>
    <row r="27" spans="1:10" ht="32.25" customHeight="1">
      <c r="A27" s="292"/>
      <c r="B27" s="277"/>
      <c r="C27" s="305" t="s">
        <v>422</v>
      </c>
      <c r="D27" s="736">
        <f>+'[4]2019년 본예산수입'!C70</f>
        <v>1800000000</v>
      </c>
      <c r="E27" s="739">
        <v>1015052571</v>
      </c>
      <c r="F27" s="736">
        <v>384947429</v>
      </c>
      <c r="G27" s="301">
        <f>+E27+F27</f>
        <v>1400000000</v>
      </c>
      <c r="H27" s="302">
        <f>+G27</f>
        <v>1400000000</v>
      </c>
      <c r="I27" s="303">
        <f t="shared" si="0"/>
        <v>-400000000</v>
      </c>
      <c r="J27" s="318" t="s">
        <v>423</v>
      </c>
    </row>
    <row r="28" spans="1:10" ht="32.25" customHeight="1">
      <c r="A28" s="292"/>
      <c r="B28" s="277"/>
      <c r="C28" s="305" t="s">
        <v>424</v>
      </c>
      <c r="D28" s="736">
        <v>0</v>
      </c>
      <c r="E28" s="739">
        <v>0</v>
      </c>
      <c r="F28" s="736">
        <v>0</v>
      </c>
      <c r="G28" s="301">
        <f>F28+E28</f>
        <v>0</v>
      </c>
      <c r="H28" s="302">
        <f>+IF(D28&gt;G28,D28,G28)</f>
        <v>0</v>
      </c>
      <c r="I28" s="303">
        <f t="shared" si="0"/>
        <v>0</v>
      </c>
      <c r="J28" s="318"/>
    </row>
    <row r="29" spans="1:10" ht="32.25" customHeight="1">
      <c r="A29" s="292"/>
      <c r="B29" s="277"/>
      <c r="C29" s="305" t="s">
        <v>425</v>
      </c>
      <c r="D29" s="736">
        <v>0</v>
      </c>
      <c r="E29" s="739">
        <v>0</v>
      </c>
      <c r="F29" s="736">
        <v>0</v>
      </c>
      <c r="G29" s="301">
        <f>F29+E29</f>
        <v>0</v>
      </c>
      <c r="H29" s="302">
        <f>+IF(D29&gt;G29,D29,G29)</f>
        <v>0</v>
      </c>
      <c r="I29" s="303">
        <f t="shared" si="0"/>
        <v>0</v>
      </c>
      <c r="J29" s="318"/>
    </row>
    <row r="30" spans="1:10" ht="32.25" customHeight="1">
      <c r="A30" s="292"/>
      <c r="B30" s="329" t="s">
        <v>426</v>
      </c>
      <c r="C30" s="324"/>
      <c r="D30" s="736">
        <f>SUM(D31:D32)</f>
        <v>2800000000</v>
      </c>
      <c r="E30" s="739">
        <f>SUM(E31:E32)</f>
        <v>2210965144</v>
      </c>
      <c r="F30" s="739">
        <f>SUM(F31:F32)</f>
        <v>989034856</v>
      </c>
      <c r="G30" s="301">
        <f>SUM(G31:G32)</f>
        <v>3200000000</v>
      </c>
      <c r="H30" s="325">
        <f>SUM(H31:H32)</f>
        <v>3200000000</v>
      </c>
      <c r="I30" s="303">
        <f t="shared" si="0"/>
        <v>400000000</v>
      </c>
      <c r="J30" s="738"/>
    </row>
    <row r="31" spans="1:10" ht="32.25" customHeight="1">
      <c r="A31" s="292"/>
      <c r="B31" s="330"/>
      <c r="C31" s="331" t="s">
        <v>427</v>
      </c>
      <c r="D31" s="320">
        <f>+'[4]2019년 본예산수입'!C67</f>
        <v>2800000000</v>
      </c>
      <c r="E31" s="739">
        <f>1153483476+1057481668</f>
        <v>2210965144</v>
      </c>
      <c r="F31" s="736">
        <v>989034856</v>
      </c>
      <c r="G31" s="301">
        <f>+E31+F31</f>
        <v>3200000000</v>
      </c>
      <c r="H31" s="302">
        <f>+G31</f>
        <v>3200000000</v>
      </c>
      <c r="I31" s="303">
        <f t="shared" si="0"/>
        <v>400000000</v>
      </c>
      <c r="J31" s="738" t="s">
        <v>852</v>
      </c>
    </row>
    <row r="32" spans="1:10" ht="32.25" customHeight="1">
      <c r="A32" s="292"/>
      <c r="B32" s="277"/>
      <c r="C32" s="329" t="s">
        <v>428</v>
      </c>
      <c r="D32" s="332"/>
      <c r="E32" s="333">
        <v>0</v>
      </c>
      <c r="F32" s="334">
        <v>0</v>
      </c>
      <c r="G32" s="301">
        <f>F32+E32</f>
        <v>0</v>
      </c>
      <c r="H32" s="302">
        <f>+IF(D32&gt;G32,D32,G32)</f>
        <v>0</v>
      </c>
      <c r="I32" s="335">
        <f t="shared" si="0"/>
        <v>0</v>
      </c>
      <c r="J32" s="336"/>
    </row>
    <row r="33" spans="1:16" s="291" customFormat="1" ht="32.25" customHeight="1">
      <c r="A33" s="283" t="s">
        <v>429</v>
      </c>
      <c r="B33" s="284"/>
      <c r="C33" s="284"/>
      <c r="D33" s="285">
        <f aca="true" t="shared" si="1" ref="D33:H34">D34</f>
        <v>3372000000</v>
      </c>
      <c r="E33" s="309">
        <f t="shared" si="1"/>
        <v>1413789324</v>
      </c>
      <c r="F33" s="309">
        <f t="shared" si="1"/>
        <v>584947088</v>
      </c>
      <c r="G33" s="310">
        <f t="shared" si="1"/>
        <v>1998736412</v>
      </c>
      <c r="H33" s="311">
        <f t="shared" si="1"/>
        <v>1998736412</v>
      </c>
      <c r="I33" s="312">
        <f t="shared" si="0"/>
        <v>-1373263588</v>
      </c>
      <c r="J33" s="289"/>
      <c r="K33" s="290"/>
      <c r="L33" s="807"/>
      <c r="M33" s="807"/>
      <c r="N33" s="807"/>
      <c r="O33" s="807"/>
      <c r="P33" s="807"/>
    </row>
    <row r="34" spans="1:10" ht="32.25" customHeight="1">
      <c r="A34" s="292"/>
      <c r="B34" s="277" t="s">
        <v>430</v>
      </c>
      <c r="C34" s="293"/>
      <c r="D34" s="294">
        <f t="shared" si="1"/>
        <v>3372000000</v>
      </c>
      <c r="E34" s="313">
        <f t="shared" si="1"/>
        <v>1413789324</v>
      </c>
      <c r="F34" s="313">
        <f t="shared" si="1"/>
        <v>584947088</v>
      </c>
      <c r="G34" s="314">
        <f t="shared" si="1"/>
        <v>1998736412</v>
      </c>
      <c r="H34" s="296">
        <f t="shared" si="1"/>
        <v>1998736412</v>
      </c>
      <c r="I34" s="297">
        <f t="shared" si="0"/>
        <v>-1373263588</v>
      </c>
      <c r="J34" s="316"/>
    </row>
    <row r="35" spans="1:10" ht="32.25" customHeight="1">
      <c r="A35" s="292"/>
      <c r="B35" s="277"/>
      <c r="C35" s="305" t="s">
        <v>431</v>
      </c>
      <c r="D35" s="736">
        <f>+'[4]2019년 본예산수입'!C65</f>
        <v>3372000000</v>
      </c>
      <c r="E35" s="739">
        <f>1387052912+26736412</f>
        <v>1413789324</v>
      </c>
      <c r="F35" s="736">
        <v>584947088</v>
      </c>
      <c r="G35" s="301">
        <f>+F35+E35</f>
        <v>1998736412</v>
      </c>
      <c r="H35" s="302">
        <f>+G35</f>
        <v>1998736412</v>
      </c>
      <c r="I35" s="303">
        <f t="shared" si="0"/>
        <v>-1373263588</v>
      </c>
      <c r="J35" s="318" t="s">
        <v>853</v>
      </c>
    </row>
    <row r="36" spans="1:16" s="291" customFormat="1" ht="32.25" customHeight="1">
      <c r="A36" s="283" t="s">
        <v>432</v>
      </c>
      <c r="B36" s="284"/>
      <c r="C36" s="284"/>
      <c r="D36" s="285">
        <f>D37+D39+D42</f>
        <v>0</v>
      </c>
      <c r="E36" s="309">
        <f>E37+E39+E42</f>
        <v>150000000</v>
      </c>
      <c r="F36" s="309">
        <f>F37+F39+F42</f>
        <v>2000000</v>
      </c>
      <c r="G36" s="310">
        <f>G37+G39+G42</f>
        <v>152000000</v>
      </c>
      <c r="H36" s="311">
        <f>H37+H39+H42</f>
        <v>152000000</v>
      </c>
      <c r="I36" s="337">
        <f t="shared" si="0"/>
        <v>152000000</v>
      </c>
      <c r="J36" s="289"/>
      <c r="K36" s="290"/>
      <c r="L36" s="807"/>
      <c r="M36" s="807"/>
      <c r="N36" s="807"/>
      <c r="O36" s="807"/>
      <c r="P36" s="807"/>
    </row>
    <row r="37" spans="1:10" ht="32.25" customHeight="1">
      <c r="A37" s="292"/>
      <c r="B37" s="277" t="s">
        <v>433</v>
      </c>
      <c r="C37" s="293"/>
      <c r="D37" s="294">
        <f>D38</f>
        <v>0</v>
      </c>
      <c r="E37" s="294">
        <f>E38</f>
        <v>0</v>
      </c>
      <c r="F37" s="294">
        <f>F38</f>
        <v>0</v>
      </c>
      <c r="G37" s="295">
        <f>G38</f>
        <v>0</v>
      </c>
      <c r="H37" s="338">
        <f>H38</f>
        <v>0</v>
      </c>
      <c r="I37" s="315">
        <f t="shared" si="0"/>
        <v>0</v>
      </c>
      <c r="J37" s="316"/>
    </row>
    <row r="38" spans="1:10" ht="32.25" customHeight="1">
      <c r="A38" s="292"/>
      <c r="B38" s="293"/>
      <c r="C38" s="339" t="s">
        <v>434</v>
      </c>
      <c r="D38" s="340">
        <v>0</v>
      </c>
      <c r="E38" s="739">
        <v>0</v>
      </c>
      <c r="F38" s="739">
        <v>0</v>
      </c>
      <c r="G38" s="301">
        <f>F38+E38</f>
        <v>0</v>
      </c>
      <c r="H38" s="302">
        <f>+IF(D38&gt;G38,D38,G38)</f>
        <v>0</v>
      </c>
      <c r="I38" s="317">
        <f t="shared" si="0"/>
        <v>0</v>
      </c>
      <c r="J38" s="318"/>
    </row>
    <row r="39" spans="1:10" ht="32.25" customHeight="1">
      <c r="A39" s="292"/>
      <c r="B39" s="330" t="s">
        <v>435</v>
      </c>
      <c r="C39" s="293"/>
      <c r="D39" s="736">
        <f>SUM(D40:D41)</f>
        <v>0</v>
      </c>
      <c r="E39" s="739">
        <f>SUM(E40:E41)</f>
        <v>0</v>
      </c>
      <c r="F39" s="739">
        <f>SUM(F40:F41)</f>
        <v>0</v>
      </c>
      <c r="G39" s="301">
        <f>SUM(G40:G41)</f>
        <v>0</v>
      </c>
      <c r="H39" s="325">
        <f>SUM(H40:H41)</f>
        <v>0</v>
      </c>
      <c r="I39" s="317">
        <f t="shared" si="0"/>
        <v>0</v>
      </c>
      <c r="J39" s="318"/>
    </row>
    <row r="40" spans="1:10" ht="32.25" customHeight="1">
      <c r="A40" s="292"/>
      <c r="B40" s="330"/>
      <c r="C40" s="293" t="s">
        <v>436</v>
      </c>
      <c r="D40" s="320">
        <v>0</v>
      </c>
      <c r="E40" s="320">
        <v>0</v>
      </c>
      <c r="F40" s="320">
        <v>0</v>
      </c>
      <c r="G40" s="301">
        <f>F40+E40</f>
        <v>0</v>
      </c>
      <c r="H40" s="302">
        <f>+IF(D40&gt;G40,D40,G40)</f>
        <v>0</v>
      </c>
      <c r="I40" s="317">
        <f t="shared" si="0"/>
        <v>0</v>
      </c>
      <c r="J40" s="318"/>
    </row>
    <row r="41" spans="1:10" ht="32.25" customHeight="1">
      <c r="A41" s="292"/>
      <c r="B41" s="293"/>
      <c r="C41" s="293" t="s">
        <v>437</v>
      </c>
      <c r="D41" s="320">
        <v>0</v>
      </c>
      <c r="E41" s="320">
        <v>0</v>
      </c>
      <c r="F41" s="320">
        <v>0</v>
      </c>
      <c r="G41" s="301">
        <f>F41+E41</f>
        <v>0</v>
      </c>
      <c r="H41" s="302">
        <f>+IF(D41&gt;G41,D41,G41)</f>
        <v>0</v>
      </c>
      <c r="I41" s="317">
        <f t="shared" si="0"/>
        <v>0</v>
      </c>
      <c r="J41" s="318"/>
    </row>
    <row r="42" spans="1:10" ht="32.25" customHeight="1">
      <c r="A42" s="292"/>
      <c r="B42" s="324" t="s">
        <v>438</v>
      </c>
      <c r="C42" s="293"/>
      <c r="D42" s="736">
        <f>D43</f>
        <v>0</v>
      </c>
      <c r="E42" s="739">
        <f>E43</f>
        <v>150000000</v>
      </c>
      <c r="F42" s="739">
        <f>F43</f>
        <v>2000000</v>
      </c>
      <c r="G42" s="301">
        <f>G43</f>
        <v>152000000</v>
      </c>
      <c r="H42" s="325">
        <f>H43</f>
        <v>152000000</v>
      </c>
      <c r="I42" s="317">
        <f t="shared" si="0"/>
        <v>152000000</v>
      </c>
      <c r="J42" s="318"/>
    </row>
    <row r="43" spans="1:10" ht="32.25" customHeight="1">
      <c r="A43" s="292"/>
      <c r="B43" s="277"/>
      <c r="C43" s="277" t="s">
        <v>439</v>
      </c>
      <c r="D43" s="320">
        <v>0</v>
      </c>
      <c r="E43" s="320">
        <v>150000000</v>
      </c>
      <c r="F43" s="320">
        <v>2000000</v>
      </c>
      <c r="G43" s="301">
        <f>F43+E43</f>
        <v>152000000</v>
      </c>
      <c r="H43" s="302">
        <f>+IF(D43&gt;G43,D43,G43)</f>
        <v>152000000</v>
      </c>
      <c r="I43" s="327">
        <f t="shared" si="0"/>
        <v>152000000</v>
      </c>
      <c r="J43" s="738"/>
    </row>
    <row r="44" spans="1:16" s="291" customFormat="1" ht="32.25" customHeight="1">
      <c r="A44" s="341" t="s">
        <v>440</v>
      </c>
      <c r="B44" s="284"/>
      <c r="C44" s="284"/>
      <c r="D44" s="285">
        <f>D45</f>
        <v>0</v>
      </c>
      <c r="E44" s="309">
        <f>E45</f>
        <v>0</v>
      </c>
      <c r="F44" s="309">
        <f>F45</f>
        <v>0</v>
      </c>
      <c r="G44" s="311">
        <f>G45</f>
        <v>0</v>
      </c>
      <c r="H44" s="311">
        <f>H45</f>
        <v>0</v>
      </c>
      <c r="I44" s="337">
        <f t="shared" si="0"/>
        <v>0</v>
      </c>
      <c r="J44" s="289"/>
      <c r="K44" s="290"/>
      <c r="L44" s="807"/>
      <c r="M44" s="807"/>
      <c r="N44" s="807"/>
      <c r="O44" s="807"/>
      <c r="P44" s="807"/>
    </row>
    <row r="45" spans="1:10" ht="32.25" customHeight="1">
      <c r="A45" s="292"/>
      <c r="B45" s="342" t="s">
        <v>441</v>
      </c>
      <c r="C45" s="293"/>
      <c r="D45" s="294">
        <f>SUM(D46:D47)</f>
        <v>0</v>
      </c>
      <c r="E45" s="313">
        <f>SUM(E46:E49)</f>
        <v>0</v>
      </c>
      <c r="F45" s="313">
        <f>SUM(F46:F47)</f>
        <v>0</v>
      </c>
      <c r="G45" s="314">
        <f>SUM(G46:G49)</f>
        <v>0</v>
      </c>
      <c r="H45" s="296">
        <f>SUM(H46:H49)</f>
        <v>0</v>
      </c>
      <c r="I45" s="315">
        <f t="shared" si="0"/>
        <v>0</v>
      </c>
      <c r="J45" s="316"/>
    </row>
    <row r="46" spans="1:10" ht="32.25" customHeight="1">
      <c r="A46" s="292"/>
      <c r="B46" s="277"/>
      <c r="C46" s="293" t="s">
        <v>442</v>
      </c>
      <c r="D46" s="320">
        <v>0</v>
      </c>
      <c r="E46" s="320">
        <v>0</v>
      </c>
      <c r="F46" s="320">
        <v>0</v>
      </c>
      <c r="G46" s="301">
        <f>F46+E46</f>
        <v>0</v>
      </c>
      <c r="H46" s="302">
        <f>+IF(D46&gt;G46,D46,G46)</f>
        <v>0</v>
      </c>
      <c r="I46" s="317">
        <f t="shared" si="0"/>
        <v>0</v>
      </c>
      <c r="J46" s="318"/>
    </row>
    <row r="47" spans="1:10" ht="32.25" customHeight="1">
      <c r="A47" s="292"/>
      <c r="B47" s="277"/>
      <c r="C47" s="305" t="s">
        <v>443</v>
      </c>
      <c r="D47" s="320">
        <v>0</v>
      </c>
      <c r="E47" s="320">
        <v>0</v>
      </c>
      <c r="F47" s="320">
        <v>0</v>
      </c>
      <c r="G47" s="301">
        <f>F47+E47</f>
        <v>0</v>
      </c>
      <c r="H47" s="302">
        <f>+IF(D47&gt;G47,D47,G47)</f>
        <v>0</v>
      </c>
      <c r="I47" s="317">
        <f t="shared" si="0"/>
        <v>0</v>
      </c>
      <c r="J47" s="318"/>
    </row>
    <row r="48" spans="1:10" ht="32.25" customHeight="1">
      <c r="A48" s="292"/>
      <c r="B48" s="277"/>
      <c r="C48" s="305" t="s">
        <v>444</v>
      </c>
      <c r="D48" s="320">
        <v>0</v>
      </c>
      <c r="E48" s="320">
        <v>0</v>
      </c>
      <c r="F48" s="320">
        <v>0</v>
      </c>
      <c r="G48" s="301">
        <f>F48+E48</f>
        <v>0</v>
      </c>
      <c r="H48" s="302">
        <f>+IF(D48&gt;G48,D48,G48)</f>
        <v>0</v>
      </c>
      <c r="I48" s="317">
        <f>H48-D48</f>
        <v>0</v>
      </c>
      <c r="J48" s="318"/>
    </row>
    <row r="49" spans="1:10" ht="32.25" customHeight="1">
      <c r="A49" s="292"/>
      <c r="B49" s="343"/>
      <c r="C49" s="277" t="s">
        <v>445</v>
      </c>
      <c r="D49" s="320"/>
      <c r="E49" s="320">
        <v>0</v>
      </c>
      <c r="F49" s="320">
        <v>0</v>
      </c>
      <c r="G49" s="301">
        <f>F49+E49</f>
        <v>0</v>
      </c>
      <c r="H49" s="302">
        <f>+IF(D49&gt;G49,D49,G49)</f>
        <v>0</v>
      </c>
      <c r="I49" s="317">
        <f>H49-D49</f>
        <v>0</v>
      </c>
      <c r="J49" s="318"/>
    </row>
    <row r="50" spans="1:16" s="291" customFormat="1" ht="32.25" customHeight="1">
      <c r="A50" s="283" t="s">
        <v>446</v>
      </c>
      <c r="B50" s="284" t="s">
        <v>447</v>
      </c>
      <c r="C50" s="284"/>
      <c r="D50" s="285">
        <f>D51+D52</f>
        <v>170000000000</v>
      </c>
      <c r="E50" s="309">
        <f>E51+E52</f>
        <v>20890000000</v>
      </c>
      <c r="F50" s="309">
        <f>F51+F52</f>
        <v>90000000000</v>
      </c>
      <c r="G50" s="310">
        <f>G51+G52</f>
        <v>110890000000</v>
      </c>
      <c r="H50" s="311">
        <f>H51+H52</f>
        <v>110890000000</v>
      </c>
      <c r="I50" s="337">
        <f t="shared" si="0"/>
        <v>-59110000000</v>
      </c>
      <c r="J50" s="289"/>
      <c r="K50" s="290"/>
      <c r="L50" s="807"/>
      <c r="M50" s="807"/>
      <c r="N50" s="807"/>
      <c r="O50" s="807"/>
      <c r="P50" s="807"/>
    </row>
    <row r="51" spans="1:10" ht="32.25" customHeight="1">
      <c r="A51" s="292"/>
      <c r="B51" s="277"/>
      <c r="C51" s="277" t="s">
        <v>448</v>
      </c>
      <c r="D51" s="795">
        <v>0</v>
      </c>
      <c r="E51" s="796">
        <f>890000000</f>
        <v>890000000</v>
      </c>
      <c r="F51" s="796">
        <v>0</v>
      </c>
      <c r="G51" s="301">
        <f>F51+E51</f>
        <v>890000000</v>
      </c>
      <c r="H51" s="302">
        <f>+IF(D51&gt;G51,D51,G51)</f>
        <v>890000000</v>
      </c>
      <c r="I51" s="797">
        <f t="shared" si="0"/>
        <v>890000000</v>
      </c>
      <c r="J51" s="346"/>
    </row>
    <row r="52" spans="1:10" ht="32.25" customHeight="1">
      <c r="A52" s="292"/>
      <c r="B52" s="277"/>
      <c r="C52" s="798" t="s">
        <v>854</v>
      </c>
      <c r="D52" s="278">
        <v>170000000000</v>
      </c>
      <c r="E52" s="344">
        <v>20000000000</v>
      </c>
      <c r="F52" s="313">
        <v>90000000000</v>
      </c>
      <c r="G52" s="301">
        <f>F52+E52</f>
        <v>110000000000</v>
      </c>
      <c r="H52" s="302">
        <f>+G52</f>
        <v>110000000000</v>
      </c>
      <c r="I52" s="799">
        <f>H52-D52</f>
        <v>-60000000000</v>
      </c>
      <c r="J52" s="346"/>
    </row>
    <row r="53" spans="1:16" s="291" customFormat="1" ht="32.25" customHeight="1">
      <c r="A53" s="283" t="s">
        <v>449</v>
      </c>
      <c r="B53" s="284"/>
      <c r="C53" s="284"/>
      <c r="D53" s="285">
        <f>87867496560+3293000000</f>
        <v>91160496560</v>
      </c>
      <c r="E53" s="309">
        <f>121447947840+1860116110</f>
        <v>123308063950</v>
      </c>
      <c r="F53" s="309"/>
      <c r="G53" s="310">
        <f>+F53+E53</f>
        <v>123308063950</v>
      </c>
      <c r="H53" s="311">
        <f>+E53</f>
        <v>123308063950</v>
      </c>
      <c r="I53" s="337">
        <f>H53-D53</f>
        <v>32147567390</v>
      </c>
      <c r="J53" s="347" t="s">
        <v>1116</v>
      </c>
      <c r="K53" s="290"/>
      <c r="L53" s="807"/>
      <c r="M53" s="807"/>
      <c r="N53" s="807"/>
      <c r="O53" s="807"/>
      <c r="P53" s="807"/>
    </row>
    <row r="54" spans="1:10" ht="20.25" customHeight="1">
      <c r="A54" s="348"/>
      <c r="B54" s="348"/>
      <c r="C54" s="348"/>
      <c r="D54" s="348"/>
      <c r="E54" s="731"/>
      <c r="F54" s="731"/>
      <c r="G54" s="731"/>
      <c r="H54" s="731"/>
      <c r="I54" s="731"/>
      <c r="J54" s="350"/>
    </row>
    <row r="55" spans="1:10" ht="20.25" customHeight="1">
      <c r="A55" s="348"/>
      <c r="B55" s="348"/>
      <c r="C55" s="348"/>
      <c r="D55" s="348"/>
      <c r="E55" s="731"/>
      <c r="F55" s="731"/>
      <c r="G55" s="731"/>
      <c r="H55" s="731"/>
      <c r="I55" s="731"/>
      <c r="J55" s="350"/>
    </row>
    <row r="56" spans="1:10" ht="20.25" customHeight="1">
      <c r="A56" s="348"/>
      <c r="B56" s="348"/>
      <c r="C56" s="348"/>
      <c r="D56" s="351">
        <f>217613937909-42304174259</f>
        <v>175309763650</v>
      </c>
      <c r="E56" s="731">
        <f>155509623426-34061675586</f>
        <v>121447947840</v>
      </c>
      <c r="G56" s="731"/>
      <c r="H56" s="731"/>
      <c r="I56" s="731"/>
      <c r="J56" s="350"/>
    </row>
    <row r="57" spans="1:10" ht="20.25" customHeight="1">
      <c r="A57" s="348"/>
      <c r="B57" s="348"/>
      <c r="C57" s="348"/>
      <c r="D57" s="348"/>
      <c r="E57" s="731"/>
      <c r="F57" s="731"/>
      <c r="G57" s="731"/>
      <c r="H57" s="731"/>
      <c r="I57" s="731"/>
      <c r="J57" s="350"/>
    </row>
    <row r="58" spans="1:10" ht="20.25" customHeight="1">
      <c r="A58" s="348"/>
      <c r="B58" s="348"/>
      <c r="C58" s="348"/>
      <c r="D58" s="348"/>
      <c r="E58" s="731"/>
      <c r="F58" s="731"/>
      <c r="G58" s="731"/>
      <c r="H58" s="731"/>
      <c r="I58" s="731"/>
      <c r="J58" s="350"/>
    </row>
    <row r="59" spans="1:10" ht="20.25" customHeight="1">
      <c r="A59" s="348"/>
      <c r="B59" s="348"/>
      <c r="C59" s="348"/>
      <c r="D59" s="348"/>
      <c r="E59" s="731"/>
      <c r="F59" s="731"/>
      <c r="G59" s="731"/>
      <c r="H59" s="731"/>
      <c r="I59" s="731"/>
      <c r="J59" s="350"/>
    </row>
    <row r="60" spans="1:10" ht="20.25" customHeight="1">
      <c r="A60" s="348"/>
      <c r="B60" s="348"/>
      <c r="C60" s="348"/>
      <c r="D60" s="348"/>
      <c r="E60" s="731"/>
      <c r="F60" s="731"/>
      <c r="G60" s="731"/>
      <c r="H60" s="731"/>
      <c r="I60" s="731"/>
      <c r="J60" s="350"/>
    </row>
    <row r="61" spans="1:10" ht="20.25" customHeight="1">
      <c r="A61" s="348"/>
      <c r="B61" s="348"/>
      <c r="C61" s="348"/>
      <c r="D61" s="348"/>
      <c r="E61" s="731"/>
      <c r="F61" s="731"/>
      <c r="G61" s="731"/>
      <c r="H61" s="731"/>
      <c r="I61" s="731"/>
      <c r="J61" s="350"/>
    </row>
    <row r="62" spans="1:10" ht="20.25" customHeight="1">
      <c r="A62" s="348"/>
      <c r="B62" s="348"/>
      <c r="C62" s="348"/>
      <c r="D62" s="348"/>
      <c r="E62" s="731"/>
      <c r="F62" s="731"/>
      <c r="G62" s="731"/>
      <c r="H62" s="731"/>
      <c r="I62" s="731"/>
      <c r="J62" s="350"/>
    </row>
    <row r="63" spans="1:10" ht="20.25" customHeight="1">
      <c r="A63" s="348"/>
      <c r="B63" s="348"/>
      <c r="C63" s="348"/>
      <c r="D63" s="348"/>
      <c r="E63" s="731"/>
      <c r="F63" s="731"/>
      <c r="G63" s="731"/>
      <c r="H63" s="731"/>
      <c r="I63" s="731"/>
      <c r="J63" s="350"/>
    </row>
    <row r="64" spans="1:10" ht="20.25" customHeight="1">
      <c r="A64" s="348"/>
      <c r="B64" s="348"/>
      <c r="C64" s="348"/>
      <c r="D64" s="348"/>
      <c r="E64" s="731"/>
      <c r="F64" s="731"/>
      <c r="G64" s="731"/>
      <c r="H64" s="731"/>
      <c r="I64" s="731"/>
      <c r="J64" s="350"/>
    </row>
    <row r="65" spans="1:10" ht="20.25" customHeight="1">
      <c r="A65" s="348"/>
      <c r="B65" s="348"/>
      <c r="C65" s="348"/>
      <c r="D65" s="348"/>
      <c r="E65" s="731"/>
      <c r="F65" s="731"/>
      <c r="G65" s="731"/>
      <c r="H65" s="731"/>
      <c r="I65" s="731"/>
      <c r="J65" s="350"/>
    </row>
    <row r="66" spans="1:16" s="555" customFormat="1" ht="20.25" customHeight="1">
      <c r="A66" s="348"/>
      <c r="B66" s="348"/>
      <c r="C66" s="348"/>
      <c r="D66" s="348"/>
      <c r="E66" s="731"/>
      <c r="F66" s="731"/>
      <c r="G66" s="731"/>
      <c r="H66" s="731"/>
      <c r="I66" s="731"/>
      <c r="J66" s="350"/>
      <c r="L66" s="620"/>
      <c r="M66" s="620"/>
      <c r="N66" s="620"/>
      <c r="O66" s="620"/>
      <c r="P66" s="620"/>
    </row>
    <row r="67" spans="1:16" s="555" customFormat="1" ht="20.25" customHeight="1">
      <c r="A67" s="348"/>
      <c r="B67" s="348"/>
      <c r="C67" s="348"/>
      <c r="D67" s="348"/>
      <c r="E67" s="731"/>
      <c r="F67" s="731"/>
      <c r="G67" s="731"/>
      <c r="H67" s="731"/>
      <c r="I67" s="731"/>
      <c r="J67" s="350"/>
      <c r="L67" s="620"/>
      <c r="M67" s="620"/>
      <c r="N67" s="620"/>
      <c r="O67" s="620"/>
      <c r="P67" s="620"/>
    </row>
    <row r="68" spans="1:16" s="555" customFormat="1" ht="20.25" customHeight="1">
      <c r="A68" s="348"/>
      <c r="B68" s="348"/>
      <c r="C68" s="348"/>
      <c r="D68" s="348"/>
      <c r="E68" s="731"/>
      <c r="F68" s="731"/>
      <c r="G68" s="731"/>
      <c r="H68" s="731"/>
      <c r="I68" s="731"/>
      <c r="J68" s="350"/>
      <c r="L68" s="620"/>
      <c r="M68" s="620"/>
      <c r="N68" s="620"/>
      <c r="O68" s="620"/>
      <c r="P68" s="620"/>
    </row>
    <row r="69" spans="1:16" s="555" customFormat="1" ht="20.25" customHeight="1">
      <c r="A69" s="348"/>
      <c r="B69" s="348"/>
      <c r="C69" s="348"/>
      <c r="D69" s="348"/>
      <c r="E69" s="731"/>
      <c r="F69" s="731"/>
      <c r="G69" s="731"/>
      <c r="H69" s="731"/>
      <c r="I69" s="731"/>
      <c r="J69" s="350"/>
      <c r="L69" s="620"/>
      <c r="M69" s="620"/>
      <c r="N69" s="620"/>
      <c r="O69" s="620"/>
      <c r="P69" s="620"/>
    </row>
    <row r="70" spans="1:16" s="555" customFormat="1" ht="20.25" customHeight="1">
      <c r="A70" s="348"/>
      <c r="B70" s="348"/>
      <c r="C70" s="348"/>
      <c r="D70" s="348"/>
      <c r="E70" s="731"/>
      <c r="F70" s="731"/>
      <c r="G70" s="731"/>
      <c r="H70" s="731"/>
      <c r="I70" s="731"/>
      <c r="J70" s="350"/>
      <c r="L70" s="620"/>
      <c r="M70" s="620"/>
      <c r="N70" s="620"/>
      <c r="O70" s="620"/>
      <c r="P70" s="620"/>
    </row>
    <row r="71" spans="1:16" s="555" customFormat="1" ht="20.25" customHeight="1">
      <c r="A71" s="348"/>
      <c r="B71" s="348"/>
      <c r="C71" s="348"/>
      <c r="D71" s="348"/>
      <c r="E71" s="731"/>
      <c r="F71" s="731"/>
      <c r="G71" s="731"/>
      <c r="H71" s="731"/>
      <c r="I71" s="731"/>
      <c r="J71" s="350"/>
      <c r="L71" s="620"/>
      <c r="M71" s="620"/>
      <c r="N71" s="620"/>
      <c r="O71" s="620"/>
      <c r="P71" s="620"/>
    </row>
    <row r="72" spans="1:16" s="555" customFormat="1" ht="20.25" customHeight="1">
      <c r="A72" s="348"/>
      <c r="B72" s="348"/>
      <c r="C72" s="348"/>
      <c r="D72" s="348"/>
      <c r="E72" s="731"/>
      <c r="F72" s="731"/>
      <c r="G72" s="731"/>
      <c r="H72" s="731"/>
      <c r="I72" s="731"/>
      <c r="J72" s="350"/>
      <c r="L72" s="620"/>
      <c r="M72" s="620"/>
      <c r="N72" s="620"/>
      <c r="O72" s="620"/>
      <c r="P72" s="620"/>
    </row>
    <row r="73" spans="1:16" s="555" customFormat="1" ht="20.25" customHeight="1">
      <c r="A73" s="348"/>
      <c r="B73" s="348"/>
      <c r="C73" s="348"/>
      <c r="D73" s="348"/>
      <c r="E73" s="731"/>
      <c r="F73" s="731"/>
      <c r="G73" s="731"/>
      <c r="H73" s="731"/>
      <c r="I73" s="731"/>
      <c r="J73" s="350"/>
      <c r="L73" s="620"/>
      <c r="M73" s="620"/>
      <c r="N73" s="620"/>
      <c r="O73" s="620"/>
      <c r="P73" s="620"/>
    </row>
    <row r="74" spans="1:16" s="555" customFormat="1" ht="20.25" customHeight="1">
      <c r="A74" s="348"/>
      <c r="B74" s="348"/>
      <c r="C74" s="348"/>
      <c r="D74" s="348"/>
      <c r="E74" s="731"/>
      <c r="F74" s="731"/>
      <c r="G74" s="731"/>
      <c r="H74" s="731"/>
      <c r="I74" s="731"/>
      <c r="J74" s="350"/>
      <c r="L74" s="620"/>
      <c r="M74" s="620"/>
      <c r="N74" s="620"/>
      <c r="O74" s="620"/>
      <c r="P74" s="620"/>
    </row>
    <row r="75" spans="1:16" s="555" customFormat="1" ht="20.25" customHeight="1">
      <c r="A75" s="348"/>
      <c r="B75" s="348"/>
      <c r="C75" s="348"/>
      <c r="D75" s="348"/>
      <c r="E75" s="731"/>
      <c r="F75" s="731"/>
      <c r="G75" s="731"/>
      <c r="H75" s="731"/>
      <c r="I75" s="731"/>
      <c r="J75" s="350"/>
      <c r="L75" s="620"/>
      <c r="M75" s="620"/>
      <c r="N75" s="620"/>
      <c r="O75" s="620"/>
      <c r="P75" s="620"/>
    </row>
    <row r="76" spans="1:16" s="555" customFormat="1" ht="20.25" customHeight="1">
      <c r="A76" s="348"/>
      <c r="B76" s="348"/>
      <c r="C76" s="348"/>
      <c r="D76" s="348"/>
      <c r="E76" s="731"/>
      <c r="F76" s="731"/>
      <c r="G76" s="731"/>
      <c r="H76" s="731"/>
      <c r="I76" s="731"/>
      <c r="J76" s="350"/>
      <c r="L76" s="620"/>
      <c r="M76" s="620"/>
      <c r="N76" s="620"/>
      <c r="O76" s="620"/>
      <c r="P76" s="620"/>
    </row>
    <row r="77" spans="1:16" s="555" customFormat="1" ht="20.25" customHeight="1">
      <c r="A77" s="348"/>
      <c r="B77" s="348"/>
      <c r="C77" s="348"/>
      <c r="D77" s="348"/>
      <c r="E77" s="731"/>
      <c r="F77" s="731"/>
      <c r="G77" s="731"/>
      <c r="H77" s="731"/>
      <c r="I77" s="731"/>
      <c r="J77" s="350"/>
      <c r="L77" s="620"/>
      <c r="M77" s="620"/>
      <c r="N77" s="620"/>
      <c r="O77" s="620"/>
      <c r="P77" s="620"/>
    </row>
    <row r="78" spans="1:16" s="555" customFormat="1" ht="20.25" customHeight="1">
      <c r="A78" s="352"/>
      <c r="B78" s="352"/>
      <c r="C78" s="352"/>
      <c r="D78" s="352"/>
      <c r="E78" s="353"/>
      <c r="F78" s="353"/>
      <c r="G78" s="353"/>
      <c r="H78" s="353"/>
      <c r="I78" s="353"/>
      <c r="J78" s="354"/>
      <c r="L78" s="620"/>
      <c r="M78" s="620"/>
      <c r="N78" s="620"/>
      <c r="O78" s="620"/>
      <c r="P78" s="620"/>
    </row>
    <row r="79" spans="1:16" s="555" customFormat="1" ht="20.25" customHeight="1">
      <c r="A79" s="352"/>
      <c r="B79" s="352"/>
      <c r="C79" s="352"/>
      <c r="D79" s="352"/>
      <c r="E79" s="353"/>
      <c r="F79" s="353"/>
      <c r="G79" s="353"/>
      <c r="H79" s="353"/>
      <c r="I79" s="353"/>
      <c r="J79" s="354"/>
      <c r="L79" s="620"/>
      <c r="M79" s="620"/>
      <c r="N79" s="620"/>
      <c r="O79" s="620"/>
      <c r="P79" s="620"/>
    </row>
    <row r="80" spans="1:16" s="555" customFormat="1" ht="20.25" customHeight="1">
      <c r="A80" s="352"/>
      <c r="B80" s="352"/>
      <c r="C80" s="352"/>
      <c r="D80" s="352"/>
      <c r="E80" s="353"/>
      <c r="F80" s="353"/>
      <c r="G80" s="353"/>
      <c r="H80" s="353"/>
      <c r="I80" s="353"/>
      <c r="J80" s="354"/>
      <c r="L80" s="620"/>
      <c r="M80" s="620"/>
      <c r="N80" s="620"/>
      <c r="O80" s="620"/>
      <c r="P80" s="620"/>
    </row>
    <row r="81" spans="1:16" s="555" customFormat="1" ht="20.25" customHeight="1">
      <c r="A81" s="352"/>
      <c r="B81" s="352"/>
      <c r="C81" s="352"/>
      <c r="D81" s="352"/>
      <c r="E81" s="353"/>
      <c r="F81" s="353"/>
      <c r="G81" s="353"/>
      <c r="H81" s="353"/>
      <c r="I81" s="353"/>
      <c r="J81" s="354"/>
      <c r="L81" s="620"/>
      <c r="M81" s="620"/>
      <c r="N81" s="620"/>
      <c r="O81" s="620"/>
      <c r="P81" s="620"/>
    </row>
    <row r="82" spans="1:16" s="555" customFormat="1" ht="20.25" customHeight="1">
      <c r="A82" s="352"/>
      <c r="B82" s="352"/>
      <c r="C82" s="352"/>
      <c r="D82" s="352"/>
      <c r="E82" s="353"/>
      <c r="F82" s="353"/>
      <c r="G82" s="353"/>
      <c r="H82" s="353"/>
      <c r="I82" s="353"/>
      <c r="J82" s="354"/>
      <c r="L82" s="620"/>
      <c r="M82" s="620"/>
      <c r="N82" s="620"/>
      <c r="O82" s="620"/>
      <c r="P82" s="620"/>
    </row>
    <row r="83" spans="1:16" s="555" customFormat="1" ht="20.25" customHeight="1">
      <c r="A83" s="352"/>
      <c r="B83" s="352"/>
      <c r="C83" s="352"/>
      <c r="D83" s="352"/>
      <c r="E83" s="353"/>
      <c r="F83" s="353"/>
      <c r="G83" s="353"/>
      <c r="H83" s="353"/>
      <c r="I83" s="353"/>
      <c r="J83" s="354"/>
      <c r="L83" s="620"/>
      <c r="M83" s="620"/>
      <c r="N83" s="620"/>
      <c r="O83" s="620"/>
      <c r="P83" s="620"/>
    </row>
    <row r="84" spans="1:16" s="354" customFormat="1" ht="20.25" customHeight="1">
      <c r="A84" s="352"/>
      <c r="B84" s="352"/>
      <c r="C84" s="352"/>
      <c r="D84" s="352"/>
      <c r="E84" s="353"/>
      <c r="F84" s="353"/>
      <c r="G84" s="353"/>
      <c r="H84" s="353"/>
      <c r="I84" s="353"/>
      <c r="K84" s="555"/>
      <c r="L84" s="808"/>
      <c r="M84" s="808"/>
      <c r="N84" s="808"/>
      <c r="O84" s="808"/>
      <c r="P84" s="808"/>
    </row>
    <row r="85" spans="1:16" s="354" customFormat="1" ht="20.25" customHeight="1">
      <c r="A85" s="352"/>
      <c r="B85" s="352"/>
      <c r="C85" s="352"/>
      <c r="D85" s="352"/>
      <c r="E85" s="353"/>
      <c r="F85" s="353"/>
      <c r="G85" s="353"/>
      <c r="H85" s="353"/>
      <c r="I85" s="353"/>
      <c r="K85" s="555"/>
      <c r="L85" s="808"/>
      <c r="M85" s="808"/>
      <c r="N85" s="808"/>
      <c r="O85" s="808"/>
      <c r="P85" s="808"/>
    </row>
    <row r="86" spans="1:16" s="354" customFormat="1" ht="20.25" customHeight="1">
      <c r="A86" s="352"/>
      <c r="B86" s="352"/>
      <c r="C86" s="352"/>
      <c r="D86" s="352"/>
      <c r="E86" s="353"/>
      <c r="F86" s="353"/>
      <c r="G86" s="353"/>
      <c r="H86" s="353"/>
      <c r="I86" s="353"/>
      <c r="K86" s="555"/>
      <c r="L86" s="808"/>
      <c r="M86" s="808"/>
      <c r="N86" s="808"/>
      <c r="O86" s="808"/>
      <c r="P86" s="808"/>
    </row>
    <row r="87" spans="1:16" s="354" customFormat="1" ht="20.25" customHeight="1">
      <c r="A87" s="352"/>
      <c r="B87" s="352"/>
      <c r="C87" s="352"/>
      <c r="D87" s="352"/>
      <c r="E87" s="353"/>
      <c r="F87" s="353"/>
      <c r="G87" s="353"/>
      <c r="H87" s="353"/>
      <c r="I87" s="353"/>
      <c r="K87" s="555"/>
      <c r="L87" s="808"/>
      <c r="M87" s="808"/>
      <c r="N87" s="808"/>
      <c r="O87" s="808"/>
      <c r="P87" s="808"/>
    </row>
    <row r="88" spans="1:16" s="354" customFormat="1" ht="20.25" customHeight="1">
      <c r="A88" s="352"/>
      <c r="B88" s="352"/>
      <c r="C88" s="352"/>
      <c r="D88" s="352"/>
      <c r="E88" s="353"/>
      <c r="F88" s="353"/>
      <c r="G88" s="353"/>
      <c r="H88" s="353"/>
      <c r="I88" s="353"/>
      <c r="K88" s="555"/>
      <c r="L88" s="808"/>
      <c r="M88" s="808"/>
      <c r="N88" s="808"/>
      <c r="O88" s="808"/>
      <c r="P88" s="808"/>
    </row>
    <row r="89" spans="1:16" s="354" customFormat="1" ht="20.25" customHeight="1">
      <c r="A89" s="352"/>
      <c r="B89" s="352"/>
      <c r="C89" s="352"/>
      <c r="D89" s="352"/>
      <c r="E89" s="353"/>
      <c r="F89" s="353"/>
      <c r="G89" s="353"/>
      <c r="H89" s="353"/>
      <c r="I89" s="353"/>
      <c r="K89" s="555"/>
      <c r="L89" s="808"/>
      <c r="M89" s="808"/>
      <c r="N89" s="808"/>
      <c r="O89" s="808"/>
      <c r="P89" s="808"/>
    </row>
    <row r="90" spans="1:16" s="354" customFormat="1" ht="20.25" customHeight="1">
      <c r="A90" s="352"/>
      <c r="B90" s="352"/>
      <c r="C90" s="352"/>
      <c r="D90" s="352"/>
      <c r="E90" s="353"/>
      <c r="F90" s="353"/>
      <c r="G90" s="353"/>
      <c r="H90" s="353"/>
      <c r="I90" s="353"/>
      <c r="K90" s="555"/>
      <c r="L90" s="808"/>
      <c r="M90" s="808"/>
      <c r="N90" s="808"/>
      <c r="O90" s="808"/>
      <c r="P90" s="808"/>
    </row>
    <row r="91" spans="1:16" s="354" customFormat="1" ht="20.25" customHeight="1">
      <c r="A91" s="352"/>
      <c r="B91" s="352"/>
      <c r="C91" s="352"/>
      <c r="D91" s="352"/>
      <c r="E91" s="353"/>
      <c r="F91" s="353"/>
      <c r="G91" s="353"/>
      <c r="H91" s="353"/>
      <c r="I91" s="353"/>
      <c r="K91" s="555"/>
      <c r="L91" s="808"/>
      <c r="M91" s="808"/>
      <c r="N91" s="808"/>
      <c r="O91" s="808"/>
      <c r="P91" s="808"/>
    </row>
    <row r="92" spans="1:16" s="354" customFormat="1" ht="20.25" customHeight="1">
      <c r="A92" s="352"/>
      <c r="B92" s="352"/>
      <c r="C92" s="352"/>
      <c r="D92" s="352"/>
      <c r="E92" s="353"/>
      <c r="F92" s="353"/>
      <c r="G92" s="353"/>
      <c r="H92" s="353"/>
      <c r="I92" s="353"/>
      <c r="K92" s="555"/>
      <c r="L92" s="808"/>
      <c r="M92" s="808"/>
      <c r="N92" s="808"/>
      <c r="O92" s="808"/>
      <c r="P92" s="808"/>
    </row>
    <row r="93" spans="1:16" s="354" customFormat="1" ht="20.25" customHeight="1">
      <c r="A93" s="352"/>
      <c r="B93" s="352"/>
      <c r="C93" s="352"/>
      <c r="D93" s="352"/>
      <c r="E93" s="353"/>
      <c r="F93" s="353"/>
      <c r="G93" s="353"/>
      <c r="H93" s="353"/>
      <c r="I93" s="353"/>
      <c r="K93" s="555"/>
      <c r="L93" s="808"/>
      <c r="M93" s="808"/>
      <c r="N93" s="808"/>
      <c r="O93" s="808"/>
      <c r="P93" s="808"/>
    </row>
    <row r="94" spans="1:16" s="354" customFormat="1" ht="20.25" customHeight="1">
      <c r="A94" s="352"/>
      <c r="B94" s="352"/>
      <c r="C94" s="352"/>
      <c r="D94" s="352"/>
      <c r="E94" s="353"/>
      <c r="F94" s="353"/>
      <c r="G94" s="353"/>
      <c r="H94" s="353"/>
      <c r="I94" s="353"/>
      <c r="K94" s="555"/>
      <c r="L94" s="808"/>
      <c r="M94" s="808"/>
      <c r="N94" s="808"/>
      <c r="O94" s="808"/>
      <c r="P94" s="808"/>
    </row>
    <row r="95" spans="1:16" s="354" customFormat="1" ht="20.25" customHeight="1">
      <c r="A95" s="352"/>
      <c r="B95" s="352"/>
      <c r="C95" s="352"/>
      <c r="D95" s="352"/>
      <c r="E95" s="353"/>
      <c r="F95" s="353"/>
      <c r="G95" s="353"/>
      <c r="H95" s="353"/>
      <c r="I95" s="353"/>
      <c r="K95" s="555"/>
      <c r="L95" s="808"/>
      <c r="M95" s="808"/>
      <c r="N95" s="808"/>
      <c r="O95" s="808"/>
      <c r="P95" s="808"/>
    </row>
    <row r="96" spans="1:16" s="354" customFormat="1" ht="20.25" customHeight="1">
      <c r="A96" s="352"/>
      <c r="B96" s="352"/>
      <c r="C96" s="352"/>
      <c r="D96" s="352"/>
      <c r="E96" s="353"/>
      <c r="F96" s="353"/>
      <c r="G96" s="353"/>
      <c r="H96" s="353"/>
      <c r="I96" s="353"/>
      <c r="K96" s="555"/>
      <c r="L96" s="808"/>
      <c r="M96" s="808"/>
      <c r="N96" s="808"/>
      <c r="O96" s="808"/>
      <c r="P96" s="808"/>
    </row>
    <row r="97" spans="1:16" s="354" customFormat="1" ht="20.25" customHeight="1">
      <c r="A97" s="352"/>
      <c r="B97" s="352"/>
      <c r="C97" s="352"/>
      <c r="D97" s="352"/>
      <c r="E97" s="353"/>
      <c r="F97" s="353"/>
      <c r="G97" s="353"/>
      <c r="H97" s="353"/>
      <c r="I97" s="353"/>
      <c r="K97" s="555"/>
      <c r="L97" s="808"/>
      <c r="M97" s="808"/>
      <c r="N97" s="808"/>
      <c r="O97" s="808"/>
      <c r="P97" s="808"/>
    </row>
    <row r="98" spans="1:16" s="354" customFormat="1" ht="20.25" customHeight="1">
      <c r="A98" s="352"/>
      <c r="B98" s="352"/>
      <c r="C98" s="352"/>
      <c r="D98" s="352"/>
      <c r="E98" s="353"/>
      <c r="F98" s="353"/>
      <c r="G98" s="353"/>
      <c r="H98" s="353"/>
      <c r="I98" s="353"/>
      <c r="K98" s="555"/>
      <c r="L98" s="808"/>
      <c r="M98" s="808"/>
      <c r="N98" s="808"/>
      <c r="O98" s="808"/>
      <c r="P98" s="808"/>
    </row>
    <row r="99" spans="1:16" s="354" customFormat="1" ht="20.25" customHeight="1">
      <c r="A99" s="352"/>
      <c r="B99" s="352"/>
      <c r="C99" s="352"/>
      <c r="D99" s="352"/>
      <c r="E99" s="353"/>
      <c r="F99" s="353"/>
      <c r="G99" s="353"/>
      <c r="H99" s="353"/>
      <c r="I99" s="353"/>
      <c r="K99" s="555"/>
      <c r="L99" s="808"/>
      <c r="M99" s="808"/>
      <c r="N99" s="808"/>
      <c r="O99" s="808"/>
      <c r="P99" s="808"/>
    </row>
    <row r="100" spans="1:16" s="354" customFormat="1" ht="20.25" customHeight="1">
      <c r="A100" s="352"/>
      <c r="B100" s="352"/>
      <c r="C100" s="352"/>
      <c r="D100" s="352"/>
      <c r="E100" s="353"/>
      <c r="F100" s="353"/>
      <c r="G100" s="353"/>
      <c r="H100" s="353"/>
      <c r="I100" s="353"/>
      <c r="K100" s="555"/>
      <c r="L100" s="808"/>
      <c r="M100" s="808"/>
      <c r="N100" s="808"/>
      <c r="O100" s="808"/>
      <c r="P100" s="808"/>
    </row>
    <row r="101" spans="1:16" s="354" customFormat="1" ht="20.25" customHeight="1">
      <c r="A101" s="352"/>
      <c r="B101" s="352"/>
      <c r="C101" s="352"/>
      <c r="D101" s="352"/>
      <c r="E101" s="353"/>
      <c r="F101" s="353"/>
      <c r="G101" s="353"/>
      <c r="H101" s="353"/>
      <c r="I101" s="353"/>
      <c r="K101" s="555"/>
      <c r="L101" s="808"/>
      <c r="M101" s="808"/>
      <c r="N101" s="808"/>
      <c r="O101" s="808"/>
      <c r="P101" s="808"/>
    </row>
    <row r="102" spans="1:16" s="354" customFormat="1" ht="20.25" customHeight="1">
      <c r="A102" s="352"/>
      <c r="B102" s="352"/>
      <c r="C102" s="352"/>
      <c r="D102" s="352"/>
      <c r="E102" s="353"/>
      <c r="F102" s="353"/>
      <c r="G102" s="353"/>
      <c r="H102" s="353"/>
      <c r="I102" s="353"/>
      <c r="K102" s="555"/>
      <c r="L102" s="808"/>
      <c r="M102" s="808"/>
      <c r="N102" s="808"/>
      <c r="O102" s="808"/>
      <c r="P102" s="808"/>
    </row>
    <row r="103" spans="1:16" s="354" customFormat="1" ht="20.25" customHeight="1">
      <c r="A103" s="352"/>
      <c r="B103" s="352"/>
      <c r="C103" s="352"/>
      <c r="D103" s="352"/>
      <c r="E103" s="353"/>
      <c r="F103" s="353"/>
      <c r="G103" s="353"/>
      <c r="H103" s="353"/>
      <c r="I103" s="353"/>
      <c r="K103" s="555"/>
      <c r="L103" s="808"/>
      <c r="M103" s="808"/>
      <c r="N103" s="808"/>
      <c r="O103" s="808"/>
      <c r="P103" s="808"/>
    </row>
    <row r="104" spans="1:16" s="354" customFormat="1" ht="20.25" customHeight="1">
      <c r="A104" s="352"/>
      <c r="B104" s="352"/>
      <c r="C104" s="352"/>
      <c r="D104" s="352"/>
      <c r="E104" s="353"/>
      <c r="F104" s="353"/>
      <c r="G104" s="353"/>
      <c r="H104" s="353"/>
      <c r="I104" s="353"/>
      <c r="K104" s="555"/>
      <c r="L104" s="808"/>
      <c r="M104" s="808"/>
      <c r="N104" s="808"/>
      <c r="O104" s="808"/>
      <c r="P104" s="808"/>
    </row>
    <row r="105" spans="1:16" s="354" customFormat="1" ht="20.25" customHeight="1">
      <c r="A105" s="352"/>
      <c r="B105" s="352"/>
      <c r="C105" s="352"/>
      <c r="D105" s="352"/>
      <c r="E105" s="353"/>
      <c r="F105" s="353"/>
      <c r="G105" s="353"/>
      <c r="H105" s="353"/>
      <c r="I105" s="353"/>
      <c r="K105" s="555"/>
      <c r="L105" s="808"/>
      <c r="M105" s="808"/>
      <c r="N105" s="808"/>
      <c r="O105" s="808"/>
      <c r="P105" s="808"/>
    </row>
    <row r="106" spans="1:16" s="354" customFormat="1" ht="20.25" customHeight="1">
      <c r="A106" s="352"/>
      <c r="B106" s="352"/>
      <c r="C106" s="352"/>
      <c r="D106" s="352"/>
      <c r="E106" s="353"/>
      <c r="F106" s="353"/>
      <c r="G106" s="353"/>
      <c r="H106" s="353"/>
      <c r="I106" s="353"/>
      <c r="K106" s="555"/>
      <c r="L106" s="808"/>
      <c r="M106" s="808"/>
      <c r="N106" s="808"/>
      <c r="O106" s="808"/>
      <c r="P106" s="808"/>
    </row>
    <row r="107" spans="1:16" s="354" customFormat="1" ht="20.25" customHeight="1">
      <c r="A107" s="352"/>
      <c r="B107" s="352"/>
      <c r="C107" s="352"/>
      <c r="D107" s="352"/>
      <c r="E107" s="353"/>
      <c r="F107" s="353"/>
      <c r="G107" s="353"/>
      <c r="H107" s="353"/>
      <c r="I107" s="353"/>
      <c r="K107" s="555"/>
      <c r="L107" s="808"/>
      <c r="M107" s="808"/>
      <c r="N107" s="808"/>
      <c r="O107" s="808"/>
      <c r="P107" s="808"/>
    </row>
    <row r="108" spans="1:16" s="354" customFormat="1" ht="20.25" customHeight="1">
      <c r="A108" s="352"/>
      <c r="B108" s="352"/>
      <c r="C108" s="352"/>
      <c r="D108" s="352"/>
      <c r="E108" s="353"/>
      <c r="F108" s="353"/>
      <c r="G108" s="353"/>
      <c r="H108" s="353"/>
      <c r="I108" s="353"/>
      <c r="K108" s="555"/>
      <c r="L108" s="808"/>
      <c r="M108" s="808"/>
      <c r="N108" s="808"/>
      <c r="O108" s="808"/>
      <c r="P108" s="808"/>
    </row>
    <row r="109" spans="1:16" s="354" customFormat="1" ht="20.25" customHeight="1">
      <c r="A109" s="352"/>
      <c r="B109" s="352"/>
      <c r="C109" s="352"/>
      <c r="D109" s="352"/>
      <c r="E109" s="353"/>
      <c r="F109" s="353"/>
      <c r="G109" s="353"/>
      <c r="H109" s="353"/>
      <c r="I109" s="353"/>
      <c r="K109" s="555"/>
      <c r="L109" s="808"/>
      <c r="M109" s="808"/>
      <c r="N109" s="808"/>
      <c r="O109" s="808"/>
      <c r="P109" s="808"/>
    </row>
    <row r="110" spans="1:16" s="354" customFormat="1" ht="20.25" customHeight="1">
      <c r="A110" s="352"/>
      <c r="B110" s="352"/>
      <c r="C110" s="352"/>
      <c r="D110" s="352"/>
      <c r="E110" s="353"/>
      <c r="F110" s="353"/>
      <c r="G110" s="353"/>
      <c r="H110" s="353"/>
      <c r="I110" s="353"/>
      <c r="K110" s="555"/>
      <c r="L110" s="808"/>
      <c r="M110" s="808"/>
      <c r="N110" s="808"/>
      <c r="O110" s="808"/>
      <c r="P110" s="808"/>
    </row>
    <row r="111" spans="1:16" s="354" customFormat="1" ht="20.25" customHeight="1">
      <c r="A111" s="352"/>
      <c r="B111" s="352"/>
      <c r="C111" s="352"/>
      <c r="D111" s="352"/>
      <c r="E111" s="353"/>
      <c r="F111" s="353"/>
      <c r="G111" s="353"/>
      <c r="H111" s="353"/>
      <c r="I111" s="353"/>
      <c r="K111" s="555"/>
      <c r="L111" s="808"/>
      <c r="M111" s="808"/>
      <c r="N111" s="808"/>
      <c r="O111" s="808"/>
      <c r="P111" s="808"/>
    </row>
    <row r="112" spans="1:16" s="354" customFormat="1" ht="20.25" customHeight="1">
      <c r="A112" s="352"/>
      <c r="B112" s="352"/>
      <c r="C112" s="352"/>
      <c r="D112" s="352"/>
      <c r="E112" s="353"/>
      <c r="F112" s="353"/>
      <c r="G112" s="353"/>
      <c r="H112" s="353"/>
      <c r="I112" s="353"/>
      <c r="K112" s="555"/>
      <c r="L112" s="808"/>
      <c r="M112" s="808"/>
      <c r="N112" s="808"/>
      <c r="O112" s="808"/>
      <c r="P112" s="808"/>
    </row>
    <row r="113" spans="1:16" s="354" customFormat="1" ht="20.25" customHeight="1">
      <c r="A113" s="352"/>
      <c r="B113" s="352"/>
      <c r="C113" s="352"/>
      <c r="D113" s="352"/>
      <c r="E113" s="353"/>
      <c r="F113" s="353"/>
      <c r="G113" s="353"/>
      <c r="H113" s="353"/>
      <c r="I113" s="353"/>
      <c r="K113" s="555"/>
      <c r="L113" s="808"/>
      <c r="M113" s="808"/>
      <c r="N113" s="808"/>
      <c r="O113" s="808"/>
      <c r="P113" s="808"/>
    </row>
    <row r="114" spans="1:16" s="354" customFormat="1" ht="20.25" customHeight="1">
      <c r="A114" s="352"/>
      <c r="B114" s="352"/>
      <c r="C114" s="352"/>
      <c r="D114" s="352"/>
      <c r="E114" s="353"/>
      <c r="F114" s="353"/>
      <c r="G114" s="353"/>
      <c r="H114" s="353"/>
      <c r="I114" s="353"/>
      <c r="K114" s="555"/>
      <c r="L114" s="808"/>
      <c r="M114" s="808"/>
      <c r="N114" s="808"/>
      <c r="O114" s="808"/>
      <c r="P114" s="808"/>
    </row>
    <row r="115" spans="1:16" s="354" customFormat="1" ht="20.25" customHeight="1">
      <c r="A115" s="352"/>
      <c r="B115" s="352"/>
      <c r="C115" s="352"/>
      <c r="D115" s="352"/>
      <c r="E115" s="353"/>
      <c r="F115" s="353"/>
      <c r="G115" s="353"/>
      <c r="H115" s="353"/>
      <c r="I115" s="353"/>
      <c r="K115" s="555"/>
      <c r="L115" s="808"/>
      <c r="M115" s="808"/>
      <c r="N115" s="808"/>
      <c r="O115" s="808"/>
      <c r="P115" s="808"/>
    </row>
    <row r="116" spans="1:16" s="354" customFormat="1" ht="20.25" customHeight="1">
      <c r="A116" s="352"/>
      <c r="B116" s="352"/>
      <c r="C116" s="352"/>
      <c r="D116" s="352"/>
      <c r="E116" s="353"/>
      <c r="F116" s="353"/>
      <c r="G116" s="353"/>
      <c r="H116" s="353"/>
      <c r="I116" s="353"/>
      <c r="K116" s="555"/>
      <c r="L116" s="808"/>
      <c r="M116" s="808"/>
      <c r="N116" s="808"/>
      <c r="O116" s="808"/>
      <c r="P116" s="808"/>
    </row>
    <row r="117" spans="1:16" s="354" customFormat="1" ht="20.25" customHeight="1">
      <c r="A117" s="352"/>
      <c r="B117" s="352"/>
      <c r="C117" s="352"/>
      <c r="D117" s="352"/>
      <c r="E117" s="353"/>
      <c r="F117" s="353"/>
      <c r="G117" s="353"/>
      <c r="H117" s="353"/>
      <c r="I117" s="353"/>
      <c r="K117" s="555"/>
      <c r="L117" s="808"/>
      <c r="M117" s="808"/>
      <c r="N117" s="808"/>
      <c r="O117" s="808"/>
      <c r="P117" s="808"/>
    </row>
    <row r="118" spans="1:16" s="354" customFormat="1" ht="20.25" customHeight="1">
      <c r="A118" s="352"/>
      <c r="B118" s="352"/>
      <c r="C118" s="352"/>
      <c r="D118" s="352"/>
      <c r="E118" s="353"/>
      <c r="F118" s="353"/>
      <c r="G118" s="353"/>
      <c r="H118" s="353"/>
      <c r="I118" s="353"/>
      <c r="K118" s="555"/>
      <c r="L118" s="808"/>
      <c r="M118" s="808"/>
      <c r="N118" s="808"/>
      <c r="O118" s="808"/>
      <c r="P118" s="808"/>
    </row>
    <row r="119" spans="1:16" s="354" customFormat="1" ht="20.25" customHeight="1">
      <c r="A119" s="352"/>
      <c r="B119" s="352"/>
      <c r="C119" s="352"/>
      <c r="D119" s="352"/>
      <c r="E119" s="353"/>
      <c r="F119" s="353"/>
      <c r="G119" s="353"/>
      <c r="H119" s="353"/>
      <c r="I119" s="353"/>
      <c r="K119" s="555"/>
      <c r="L119" s="808"/>
      <c r="M119" s="808"/>
      <c r="N119" s="808"/>
      <c r="O119" s="808"/>
      <c r="P119" s="808"/>
    </row>
    <row r="120" spans="1:16" s="354" customFormat="1" ht="20.25" customHeight="1">
      <c r="A120" s="352"/>
      <c r="B120" s="352"/>
      <c r="C120" s="352"/>
      <c r="D120" s="352"/>
      <c r="E120" s="353"/>
      <c r="F120" s="353"/>
      <c r="G120" s="353"/>
      <c r="H120" s="353"/>
      <c r="I120" s="353"/>
      <c r="K120" s="555"/>
      <c r="L120" s="808"/>
      <c r="M120" s="808"/>
      <c r="N120" s="808"/>
      <c r="O120" s="808"/>
      <c r="P120" s="808"/>
    </row>
    <row r="121" spans="1:16" s="354" customFormat="1" ht="20.25" customHeight="1">
      <c r="A121" s="352"/>
      <c r="B121" s="352"/>
      <c r="C121" s="352"/>
      <c r="D121" s="352"/>
      <c r="E121" s="353"/>
      <c r="F121" s="353"/>
      <c r="G121" s="353"/>
      <c r="H121" s="353"/>
      <c r="I121" s="353"/>
      <c r="K121" s="555"/>
      <c r="L121" s="808"/>
      <c r="M121" s="808"/>
      <c r="N121" s="808"/>
      <c r="O121" s="808"/>
      <c r="P121" s="808"/>
    </row>
    <row r="122" spans="1:16" s="354" customFormat="1" ht="20.25" customHeight="1">
      <c r="A122" s="352"/>
      <c r="B122" s="352"/>
      <c r="C122" s="352"/>
      <c r="D122" s="352"/>
      <c r="E122" s="353"/>
      <c r="F122" s="353"/>
      <c r="G122" s="353"/>
      <c r="H122" s="353"/>
      <c r="I122" s="353"/>
      <c r="K122" s="555"/>
      <c r="L122" s="808"/>
      <c r="M122" s="808"/>
      <c r="N122" s="808"/>
      <c r="O122" s="808"/>
      <c r="P122" s="808"/>
    </row>
    <row r="123" spans="1:16" s="354" customFormat="1" ht="20.25" customHeight="1">
      <c r="A123" s="352"/>
      <c r="B123" s="352"/>
      <c r="C123" s="352"/>
      <c r="D123" s="352"/>
      <c r="E123" s="353"/>
      <c r="F123" s="353"/>
      <c r="G123" s="353"/>
      <c r="H123" s="353"/>
      <c r="I123" s="353"/>
      <c r="K123" s="555"/>
      <c r="L123" s="808"/>
      <c r="M123" s="808"/>
      <c r="N123" s="808"/>
      <c r="O123" s="808"/>
      <c r="P123" s="808"/>
    </row>
    <row r="124" spans="1:16" s="354" customFormat="1" ht="20.25" customHeight="1">
      <c r="A124" s="352"/>
      <c r="B124" s="352"/>
      <c r="C124" s="352"/>
      <c r="D124" s="352"/>
      <c r="E124" s="353"/>
      <c r="F124" s="353"/>
      <c r="G124" s="353"/>
      <c r="H124" s="353"/>
      <c r="I124" s="353"/>
      <c r="K124" s="555"/>
      <c r="L124" s="808"/>
      <c r="M124" s="808"/>
      <c r="N124" s="808"/>
      <c r="O124" s="808"/>
      <c r="P124" s="808"/>
    </row>
    <row r="125" spans="1:16" s="354" customFormat="1" ht="20.25" customHeight="1">
      <c r="A125" s="352"/>
      <c r="B125" s="352"/>
      <c r="C125" s="352"/>
      <c r="D125" s="352"/>
      <c r="E125" s="353"/>
      <c r="F125" s="353"/>
      <c r="G125" s="353"/>
      <c r="H125" s="353"/>
      <c r="I125" s="353"/>
      <c r="K125" s="555"/>
      <c r="L125" s="808"/>
      <c r="M125" s="808"/>
      <c r="N125" s="808"/>
      <c r="O125" s="808"/>
      <c r="P125" s="808"/>
    </row>
    <row r="126" spans="1:16" s="354" customFormat="1" ht="20.25" customHeight="1">
      <c r="A126" s="352"/>
      <c r="B126" s="352"/>
      <c r="C126" s="352"/>
      <c r="D126" s="352"/>
      <c r="E126" s="353"/>
      <c r="F126" s="353"/>
      <c r="G126" s="353"/>
      <c r="H126" s="353"/>
      <c r="I126" s="353"/>
      <c r="K126" s="555"/>
      <c r="L126" s="808"/>
      <c r="M126" s="808"/>
      <c r="N126" s="808"/>
      <c r="O126" s="808"/>
      <c r="P126" s="808"/>
    </row>
    <row r="127" spans="1:16" s="354" customFormat="1" ht="20.25" customHeight="1">
      <c r="A127" s="352"/>
      <c r="B127" s="352"/>
      <c r="C127" s="352"/>
      <c r="D127" s="352"/>
      <c r="E127" s="353"/>
      <c r="F127" s="353"/>
      <c r="G127" s="353"/>
      <c r="H127" s="353"/>
      <c r="I127" s="353"/>
      <c r="K127" s="555"/>
      <c r="L127" s="808"/>
      <c r="M127" s="808"/>
      <c r="N127" s="808"/>
      <c r="O127" s="808"/>
      <c r="P127" s="808"/>
    </row>
    <row r="128" spans="1:16" s="354" customFormat="1" ht="20.25" customHeight="1">
      <c r="A128" s="352"/>
      <c r="B128" s="352"/>
      <c r="C128" s="352"/>
      <c r="D128" s="352"/>
      <c r="E128" s="353"/>
      <c r="F128" s="353"/>
      <c r="G128" s="353"/>
      <c r="H128" s="353"/>
      <c r="I128" s="353"/>
      <c r="K128" s="555"/>
      <c r="L128" s="808"/>
      <c r="M128" s="808"/>
      <c r="N128" s="808"/>
      <c r="O128" s="808"/>
      <c r="P128" s="808"/>
    </row>
    <row r="129" spans="1:16" s="354" customFormat="1" ht="20.25" customHeight="1">
      <c r="A129" s="352"/>
      <c r="B129" s="352"/>
      <c r="C129" s="352"/>
      <c r="D129" s="352"/>
      <c r="E129" s="353"/>
      <c r="F129" s="353"/>
      <c r="G129" s="353"/>
      <c r="H129" s="353"/>
      <c r="I129" s="353"/>
      <c r="K129" s="555"/>
      <c r="L129" s="808"/>
      <c r="M129" s="808"/>
      <c r="N129" s="808"/>
      <c r="O129" s="808"/>
      <c r="P129" s="808"/>
    </row>
    <row r="130" spans="1:16" s="354" customFormat="1" ht="20.25" customHeight="1">
      <c r="A130" s="352"/>
      <c r="B130" s="352"/>
      <c r="C130" s="352"/>
      <c r="D130" s="352"/>
      <c r="E130" s="353"/>
      <c r="F130" s="353"/>
      <c r="G130" s="353"/>
      <c r="H130" s="353"/>
      <c r="I130" s="353"/>
      <c r="K130" s="555"/>
      <c r="L130" s="808"/>
      <c r="M130" s="808"/>
      <c r="N130" s="808"/>
      <c r="O130" s="808"/>
      <c r="P130" s="808"/>
    </row>
    <row r="131" spans="1:16" s="354" customFormat="1" ht="20.25" customHeight="1">
      <c r="A131" s="352"/>
      <c r="B131" s="352"/>
      <c r="C131" s="352"/>
      <c r="D131" s="352"/>
      <c r="E131" s="353"/>
      <c r="F131" s="353"/>
      <c r="G131" s="353"/>
      <c r="H131" s="353"/>
      <c r="I131" s="353"/>
      <c r="K131" s="555"/>
      <c r="L131" s="808"/>
      <c r="M131" s="808"/>
      <c r="N131" s="808"/>
      <c r="O131" s="808"/>
      <c r="P131" s="808"/>
    </row>
    <row r="132" spans="1:16" s="354" customFormat="1" ht="20.25" customHeight="1">
      <c r="A132" s="352"/>
      <c r="B132" s="352"/>
      <c r="C132" s="352"/>
      <c r="D132" s="352"/>
      <c r="E132" s="353"/>
      <c r="F132" s="353"/>
      <c r="G132" s="353"/>
      <c r="H132" s="353"/>
      <c r="I132" s="353"/>
      <c r="K132" s="555"/>
      <c r="L132" s="808"/>
      <c r="M132" s="808"/>
      <c r="N132" s="808"/>
      <c r="O132" s="808"/>
      <c r="P132" s="808"/>
    </row>
    <row r="133" spans="1:16" s="354" customFormat="1" ht="20.25" customHeight="1">
      <c r="A133" s="352"/>
      <c r="B133" s="352"/>
      <c r="C133" s="352"/>
      <c r="D133" s="352"/>
      <c r="E133" s="353"/>
      <c r="F133" s="353"/>
      <c r="G133" s="353"/>
      <c r="H133" s="353"/>
      <c r="I133" s="353"/>
      <c r="K133" s="555"/>
      <c r="L133" s="808"/>
      <c r="M133" s="808"/>
      <c r="N133" s="808"/>
      <c r="O133" s="808"/>
      <c r="P133" s="808"/>
    </row>
    <row r="134" spans="1:16" s="354" customFormat="1" ht="20.25" customHeight="1">
      <c r="A134" s="352"/>
      <c r="B134" s="352"/>
      <c r="C134" s="352"/>
      <c r="D134" s="352"/>
      <c r="E134" s="353"/>
      <c r="F134" s="353"/>
      <c r="G134" s="353"/>
      <c r="H134" s="353"/>
      <c r="I134" s="353"/>
      <c r="K134" s="555"/>
      <c r="L134" s="808"/>
      <c r="M134" s="808"/>
      <c r="N134" s="808"/>
      <c r="O134" s="808"/>
      <c r="P134" s="808"/>
    </row>
    <row r="135" spans="1:16" s="354" customFormat="1" ht="20.25" customHeight="1">
      <c r="A135" s="352"/>
      <c r="B135" s="352"/>
      <c r="C135" s="352"/>
      <c r="D135" s="352"/>
      <c r="E135" s="353"/>
      <c r="F135" s="353"/>
      <c r="G135" s="353"/>
      <c r="H135" s="353"/>
      <c r="I135" s="353"/>
      <c r="K135" s="555"/>
      <c r="L135" s="808"/>
      <c r="M135" s="808"/>
      <c r="N135" s="808"/>
      <c r="O135" s="808"/>
      <c r="P135" s="808"/>
    </row>
    <row r="136" spans="1:16" s="354" customFormat="1" ht="20.25" customHeight="1">
      <c r="A136" s="352"/>
      <c r="B136" s="352"/>
      <c r="C136" s="352"/>
      <c r="D136" s="352"/>
      <c r="E136" s="353"/>
      <c r="F136" s="353"/>
      <c r="G136" s="353"/>
      <c r="H136" s="353"/>
      <c r="I136" s="353"/>
      <c r="K136" s="555"/>
      <c r="L136" s="808"/>
      <c r="M136" s="808"/>
      <c r="N136" s="808"/>
      <c r="O136" s="808"/>
      <c r="P136" s="808"/>
    </row>
    <row r="137" spans="1:16" s="354" customFormat="1" ht="20.25" customHeight="1">
      <c r="A137" s="352"/>
      <c r="B137" s="352"/>
      <c r="C137" s="352"/>
      <c r="D137" s="352"/>
      <c r="E137" s="353"/>
      <c r="F137" s="353"/>
      <c r="G137" s="353"/>
      <c r="H137" s="353"/>
      <c r="I137" s="353"/>
      <c r="K137" s="555"/>
      <c r="L137" s="808"/>
      <c r="M137" s="808"/>
      <c r="N137" s="808"/>
      <c r="O137" s="808"/>
      <c r="P137" s="808"/>
    </row>
    <row r="138" spans="1:16" s="354" customFormat="1" ht="20.25" customHeight="1">
      <c r="A138" s="352"/>
      <c r="B138" s="352"/>
      <c r="C138" s="352"/>
      <c r="D138" s="352"/>
      <c r="E138" s="353"/>
      <c r="F138" s="353"/>
      <c r="G138" s="353"/>
      <c r="H138" s="353"/>
      <c r="I138" s="353"/>
      <c r="K138" s="555"/>
      <c r="L138" s="808"/>
      <c r="M138" s="808"/>
      <c r="N138" s="808"/>
      <c r="O138" s="808"/>
      <c r="P138" s="808"/>
    </row>
    <row r="139" spans="1:16" s="354" customFormat="1" ht="20.25" customHeight="1">
      <c r="A139" s="352"/>
      <c r="B139" s="352"/>
      <c r="C139" s="352"/>
      <c r="D139" s="352"/>
      <c r="E139" s="353"/>
      <c r="F139" s="353"/>
      <c r="G139" s="353"/>
      <c r="H139" s="353"/>
      <c r="I139" s="353"/>
      <c r="K139" s="555"/>
      <c r="L139" s="808"/>
      <c r="M139" s="808"/>
      <c r="N139" s="808"/>
      <c r="O139" s="808"/>
      <c r="P139" s="808"/>
    </row>
    <row r="140" spans="1:16" s="354" customFormat="1" ht="20.25" customHeight="1">
      <c r="A140" s="352"/>
      <c r="B140" s="352"/>
      <c r="C140" s="352"/>
      <c r="D140" s="352"/>
      <c r="E140" s="353"/>
      <c r="F140" s="353"/>
      <c r="G140" s="353"/>
      <c r="H140" s="353"/>
      <c r="I140" s="353"/>
      <c r="K140" s="555"/>
      <c r="L140" s="808"/>
      <c r="M140" s="808"/>
      <c r="N140" s="808"/>
      <c r="O140" s="808"/>
      <c r="P140" s="808"/>
    </row>
    <row r="141" spans="1:16" s="354" customFormat="1" ht="20.25" customHeight="1">
      <c r="A141" s="352"/>
      <c r="B141" s="352"/>
      <c r="C141" s="352"/>
      <c r="D141" s="352"/>
      <c r="E141" s="353"/>
      <c r="F141" s="353"/>
      <c r="G141" s="353"/>
      <c r="H141" s="353"/>
      <c r="I141" s="353"/>
      <c r="K141" s="555"/>
      <c r="L141" s="808"/>
      <c r="M141" s="808"/>
      <c r="N141" s="808"/>
      <c r="O141" s="808"/>
      <c r="P141" s="808"/>
    </row>
    <row r="142" spans="1:16" s="354" customFormat="1" ht="20.25" customHeight="1">
      <c r="A142" s="352"/>
      <c r="B142" s="352"/>
      <c r="C142" s="352"/>
      <c r="D142" s="352"/>
      <c r="E142" s="353"/>
      <c r="F142" s="353"/>
      <c r="G142" s="353"/>
      <c r="H142" s="353"/>
      <c r="I142" s="353"/>
      <c r="K142" s="555"/>
      <c r="L142" s="808"/>
      <c r="M142" s="808"/>
      <c r="N142" s="808"/>
      <c r="O142" s="808"/>
      <c r="P142" s="808"/>
    </row>
    <row r="143" spans="1:16" s="354" customFormat="1" ht="20.25" customHeight="1">
      <c r="A143" s="352"/>
      <c r="B143" s="352"/>
      <c r="C143" s="352"/>
      <c r="D143" s="352"/>
      <c r="E143" s="353"/>
      <c r="F143" s="353"/>
      <c r="G143" s="353"/>
      <c r="H143" s="353"/>
      <c r="I143" s="353"/>
      <c r="K143" s="555"/>
      <c r="L143" s="808"/>
      <c r="M143" s="808"/>
      <c r="N143" s="808"/>
      <c r="O143" s="808"/>
      <c r="P143" s="808"/>
    </row>
    <row r="144" spans="1:16" s="354" customFormat="1" ht="20.25" customHeight="1">
      <c r="A144" s="352"/>
      <c r="B144" s="352"/>
      <c r="C144" s="352"/>
      <c r="D144" s="352"/>
      <c r="E144" s="353"/>
      <c r="F144" s="353"/>
      <c r="G144" s="353"/>
      <c r="H144" s="353"/>
      <c r="I144" s="353"/>
      <c r="K144" s="555"/>
      <c r="L144" s="808"/>
      <c r="M144" s="808"/>
      <c r="N144" s="808"/>
      <c r="O144" s="808"/>
      <c r="P144" s="808"/>
    </row>
    <row r="145" spans="1:16" s="354" customFormat="1" ht="20.25" customHeight="1">
      <c r="A145" s="352"/>
      <c r="B145" s="352"/>
      <c r="C145" s="352"/>
      <c r="D145" s="352"/>
      <c r="E145" s="353"/>
      <c r="F145" s="353"/>
      <c r="G145" s="353"/>
      <c r="H145" s="353"/>
      <c r="I145" s="353"/>
      <c r="K145" s="555"/>
      <c r="L145" s="808"/>
      <c r="M145" s="808"/>
      <c r="N145" s="808"/>
      <c r="O145" s="808"/>
      <c r="P145" s="808"/>
    </row>
    <row r="146" spans="1:16" s="354" customFormat="1" ht="20.25" customHeight="1">
      <c r="A146" s="352"/>
      <c r="B146" s="352"/>
      <c r="C146" s="352"/>
      <c r="D146" s="352"/>
      <c r="E146" s="353"/>
      <c r="F146" s="353"/>
      <c r="G146" s="353"/>
      <c r="H146" s="353"/>
      <c r="I146" s="353"/>
      <c r="K146" s="555"/>
      <c r="L146" s="808"/>
      <c r="M146" s="808"/>
      <c r="N146" s="808"/>
      <c r="O146" s="808"/>
      <c r="P146" s="808"/>
    </row>
    <row r="147" spans="1:16" s="354" customFormat="1" ht="20.25" customHeight="1">
      <c r="A147" s="352"/>
      <c r="B147" s="352"/>
      <c r="C147" s="352"/>
      <c r="D147" s="352"/>
      <c r="E147" s="353"/>
      <c r="F147" s="353"/>
      <c r="G147" s="353"/>
      <c r="H147" s="353"/>
      <c r="I147" s="353"/>
      <c r="K147" s="555"/>
      <c r="L147" s="808"/>
      <c r="M147" s="808"/>
      <c r="N147" s="808"/>
      <c r="O147" s="808"/>
      <c r="P147" s="808"/>
    </row>
    <row r="148" spans="1:16" s="354" customFormat="1" ht="20.25" customHeight="1">
      <c r="A148" s="352"/>
      <c r="B148" s="352"/>
      <c r="C148" s="352"/>
      <c r="D148" s="352"/>
      <c r="E148" s="353"/>
      <c r="F148" s="353"/>
      <c r="G148" s="353"/>
      <c r="H148" s="353"/>
      <c r="I148" s="353"/>
      <c r="K148" s="555"/>
      <c r="L148" s="808"/>
      <c r="M148" s="808"/>
      <c r="N148" s="808"/>
      <c r="O148" s="808"/>
      <c r="P148" s="808"/>
    </row>
    <row r="149" spans="1:16" s="354" customFormat="1" ht="20.25" customHeight="1">
      <c r="A149" s="352"/>
      <c r="B149" s="352"/>
      <c r="C149" s="352"/>
      <c r="D149" s="352"/>
      <c r="E149" s="353"/>
      <c r="F149" s="353"/>
      <c r="G149" s="353"/>
      <c r="H149" s="353"/>
      <c r="I149" s="353"/>
      <c r="K149" s="555"/>
      <c r="L149" s="808"/>
      <c r="M149" s="808"/>
      <c r="N149" s="808"/>
      <c r="O149" s="808"/>
      <c r="P149" s="808"/>
    </row>
    <row r="150" spans="1:16" s="354" customFormat="1" ht="20.25" customHeight="1">
      <c r="A150" s="352"/>
      <c r="B150" s="352"/>
      <c r="C150" s="352"/>
      <c r="D150" s="352"/>
      <c r="E150" s="353"/>
      <c r="F150" s="353"/>
      <c r="G150" s="353"/>
      <c r="H150" s="353"/>
      <c r="I150" s="353"/>
      <c r="K150" s="555"/>
      <c r="L150" s="808"/>
      <c r="M150" s="808"/>
      <c r="N150" s="808"/>
      <c r="O150" s="808"/>
      <c r="P150" s="808"/>
    </row>
    <row r="151" spans="1:16" s="354" customFormat="1" ht="20.25" customHeight="1">
      <c r="A151" s="352"/>
      <c r="B151" s="352"/>
      <c r="C151" s="352"/>
      <c r="D151" s="352"/>
      <c r="E151" s="353"/>
      <c r="F151" s="353"/>
      <c r="G151" s="353"/>
      <c r="H151" s="353"/>
      <c r="I151" s="353"/>
      <c r="K151" s="555"/>
      <c r="L151" s="808"/>
      <c r="M151" s="808"/>
      <c r="N151" s="808"/>
      <c r="O151" s="808"/>
      <c r="P151" s="808"/>
    </row>
    <row r="152" spans="1:16" s="354" customFormat="1" ht="20.25" customHeight="1">
      <c r="A152" s="352"/>
      <c r="B152" s="352"/>
      <c r="C152" s="352"/>
      <c r="D152" s="352"/>
      <c r="E152" s="353"/>
      <c r="F152" s="353"/>
      <c r="G152" s="353"/>
      <c r="H152" s="353"/>
      <c r="I152" s="353"/>
      <c r="K152" s="555"/>
      <c r="L152" s="808"/>
      <c r="M152" s="808"/>
      <c r="N152" s="808"/>
      <c r="O152" s="808"/>
      <c r="P152" s="808"/>
    </row>
    <row r="153" spans="1:16" s="354" customFormat="1" ht="20.25" customHeight="1">
      <c r="A153" s="352"/>
      <c r="B153" s="352"/>
      <c r="C153" s="352"/>
      <c r="D153" s="352"/>
      <c r="E153" s="353"/>
      <c r="F153" s="353"/>
      <c r="G153" s="353"/>
      <c r="H153" s="353"/>
      <c r="I153" s="353"/>
      <c r="K153" s="555"/>
      <c r="L153" s="808"/>
      <c r="M153" s="808"/>
      <c r="N153" s="808"/>
      <c r="O153" s="808"/>
      <c r="P153" s="808"/>
    </row>
    <row r="154" spans="1:16" s="354" customFormat="1" ht="20.25" customHeight="1">
      <c r="A154" s="352"/>
      <c r="B154" s="352"/>
      <c r="C154" s="352"/>
      <c r="D154" s="352"/>
      <c r="E154" s="353"/>
      <c r="F154" s="353"/>
      <c r="G154" s="353"/>
      <c r="H154" s="353"/>
      <c r="I154" s="353"/>
      <c r="K154" s="555"/>
      <c r="L154" s="808"/>
      <c r="M154" s="808"/>
      <c r="N154" s="808"/>
      <c r="O154" s="808"/>
      <c r="P154" s="808"/>
    </row>
    <row r="155" spans="1:16" s="354" customFormat="1" ht="20.25" customHeight="1">
      <c r="A155" s="352"/>
      <c r="B155" s="352"/>
      <c r="C155" s="352"/>
      <c r="D155" s="352"/>
      <c r="E155" s="353"/>
      <c r="F155" s="353"/>
      <c r="G155" s="353"/>
      <c r="H155" s="353"/>
      <c r="I155" s="353"/>
      <c r="K155" s="555"/>
      <c r="L155" s="808"/>
      <c r="M155" s="808"/>
      <c r="N155" s="808"/>
      <c r="O155" s="808"/>
      <c r="P155" s="808"/>
    </row>
    <row r="156" spans="1:16" s="354" customFormat="1" ht="20.25" customHeight="1">
      <c r="A156" s="352"/>
      <c r="B156" s="352"/>
      <c r="C156" s="352"/>
      <c r="D156" s="352"/>
      <c r="E156" s="353"/>
      <c r="F156" s="353"/>
      <c r="G156" s="353"/>
      <c r="H156" s="353"/>
      <c r="I156" s="353"/>
      <c r="K156" s="555"/>
      <c r="L156" s="808"/>
      <c r="M156" s="808"/>
      <c r="N156" s="808"/>
      <c r="O156" s="808"/>
      <c r="P156" s="808"/>
    </row>
    <row r="157" spans="1:16" s="354" customFormat="1" ht="20.25" customHeight="1">
      <c r="A157" s="352"/>
      <c r="B157" s="352"/>
      <c r="C157" s="352"/>
      <c r="D157" s="352"/>
      <c r="E157" s="353"/>
      <c r="F157" s="353"/>
      <c r="G157" s="353"/>
      <c r="H157" s="353"/>
      <c r="I157" s="353"/>
      <c r="K157" s="555"/>
      <c r="L157" s="808"/>
      <c r="M157" s="808"/>
      <c r="N157" s="808"/>
      <c r="O157" s="808"/>
      <c r="P157" s="808"/>
    </row>
    <row r="158" spans="1:16" s="354" customFormat="1" ht="20.25" customHeight="1">
      <c r="A158" s="352"/>
      <c r="B158" s="352"/>
      <c r="C158" s="352"/>
      <c r="D158" s="352"/>
      <c r="E158" s="353"/>
      <c r="F158" s="353"/>
      <c r="G158" s="353"/>
      <c r="H158" s="353"/>
      <c r="I158" s="353"/>
      <c r="K158" s="555"/>
      <c r="L158" s="808"/>
      <c r="M158" s="808"/>
      <c r="N158" s="808"/>
      <c r="O158" s="808"/>
      <c r="P158" s="808"/>
    </row>
    <row r="159" spans="1:16" s="354" customFormat="1" ht="20.25" customHeight="1">
      <c r="A159" s="352"/>
      <c r="B159" s="352"/>
      <c r="C159" s="352"/>
      <c r="D159" s="352"/>
      <c r="E159" s="353"/>
      <c r="F159" s="353"/>
      <c r="G159" s="353"/>
      <c r="H159" s="353"/>
      <c r="I159" s="353"/>
      <c r="K159" s="555"/>
      <c r="L159" s="808"/>
      <c r="M159" s="808"/>
      <c r="N159" s="808"/>
      <c r="O159" s="808"/>
      <c r="P159" s="808"/>
    </row>
    <row r="160" spans="1:16" s="354" customFormat="1" ht="20.25" customHeight="1">
      <c r="A160" s="352"/>
      <c r="B160" s="352"/>
      <c r="C160" s="352"/>
      <c r="D160" s="352"/>
      <c r="E160" s="353"/>
      <c r="F160" s="353"/>
      <c r="G160" s="353"/>
      <c r="H160" s="353"/>
      <c r="I160" s="353"/>
      <c r="K160" s="555"/>
      <c r="L160" s="808"/>
      <c r="M160" s="808"/>
      <c r="N160" s="808"/>
      <c r="O160" s="808"/>
      <c r="P160" s="808"/>
    </row>
    <row r="161" spans="1:16" s="354" customFormat="1" ht="20.25" customHeight="1">
      <c r="A161" s="352"/>
      <c r="B161" s="352"/>
      <c r="C161" s="352"/>
      <c r="D161" s="352"/>
      <c r="E161" s="353"/>
      <c r="F161" s="353"/>
      <c r="G161" s="353"/>
      <c r="H161" s="353"/>
      <c r="I161" s="353"/>
      <c r="K161" s="555"/>
      <c r="L161" s="808"/>
      <c r="M161" s="808"/>
      <c r="N161" s="808"/>
      <c r="O161" s="808"/>
      <c r="P161" s="808"/>
    </row>
    <row r="162" spans="1:16" s="354" customFormat="1" ht="20.25" customHeight="1">
      <c r="A162" s="352"/>
      <c r="B162" s="352"/>
      <c r="C162" s="352"/>
      <c r="D162" s="352"/>
      <c r="E162" s="353"/>
      <c r="F162" s="353"/>
      <c r="G162" s="353"/>
      <c r="H162" s="353"/>
      <c r="I162" s="353"/>
      <c r="K162" s="555"/>
      <c r="L162" s="808"/>
      <c r="M162" s="808"/>
      <c r="N162" s="808"/>
      <c r="O162" s="808"/>
      <c r="P162" s="808"/>
    </row>
    <row r="163" spans="1:16" s="354" customFormat="1" ht="20.25" customHeight="1">
      <c r="A163" s="352"/>
      <c r="B163" s="352"/>
      <c r="C163" s="352"/>
      <c r="D163" s="352"/>
      <c r="E163" s="353"/>
      <c r="F163" s="353"/>
      <c r="G163" s="353"/>
      <c r="H163" s="353"/>
      <c r="I163" s="353"/>
      <c r="K163" s="555"/>
      <c r="L163" s="808"/>
      <c r="M163" s="808"/>
      <c r="N163" s="808"/>
      <c r="O163" s="808"/>
      <c r="P163" s="808"/>
    </row>
    <row r="164" spans="1:16" s="354" customFormat="1" ht="20.25" customHeight="1">
      <c r="A164" s="352"/>
      <c r="B164" s="352"/>
      <c r="C164" s="352"/>
      <c r="D164" s="352"/>
      <c r="E164" s="353"/>
      <c r="F164" s="353"/>
      <c r="G164" s="353"/>
      <c r="H164" s="353"/>
      <c r="I164" s="353"/>
      <c r="K164" s="555"/>
      <c r="L164" s="808"/>
      <c r="M164" s="808"/>
      <c r="N164" s="808"/>
      <c r="O164" s="808"/>
      <c r="P164" s="808"/>
    </row>
    <row r="165" spans="1:16" s="354" customFormat="1" ht="20.25" customHeight="1">
      <c r="A165" s="352"/>
      <c r="B165" s="352"/>
      <c r="C165" s="352"/>
      <c r="D165" s="352"/>
      <c r="E165" s="353"/>
      <c r="F165" s="353"/>
      <c r="G165" s="353"/>
      <c r="H165" s="353"/>
      <c r="I165" s="353"/>
      <c r="K165" s="555"/>
      <c r="L165" s="808"/>
      <c r="M165" s="808"/>
      <c r="N165" s="808"/>
      <c r="O165" s="808"/>
      <c r="P165" s="808"/>
    </row>
    <row r="166" spans="1:16" s="354" customFormat="1" ht="20.25" customHeight="1">
      <c r="A166" s="352"/>
      <c r="B166" s="352"/>
      <c r="C166" s="352"/>
      <c r="D166" s="352"/>
      <c r="E166" s="353"/>
      <c r="F166" s="353"/>
      <c r="G166" s="353"/>
      <c r="H166" s="353"/>
      <c r="I166" s="353"/>
      <c r="K166" s="555"/>
      <c r="L166" s="808"/>
      <c r="M166" s="808"/>
      <c r="N166" s="808"/>
      <c r="O166" s="808"/>
      <c r="P166" s="808"/>
    </row>
    <row r="167" spans="1:16" s="354" customFormat="1" ht="20.25" customHeight="1">
      <c r="A167" s="352"/>
      <c r="B167" s="352"/>
      <c r="C167" s="352"/>
      <c r="D167" s="352"/>
      <c r="E167" s="353"/>
      <c r="F167" s="353"/>
      <c r="G167" s="353"/>
      <c r="H167" s="353"/>
      <c r="I167" s="353"/>
      <c r="K167" s="555"/>
      <c r="L167" s="808"/>
      <c r="M167" s="808"/>
      <c r="N167" s="808"/>
      <c r="O167" s="808"/>
      <c r="P167" s="808"/>
    </row>
    <row r="168" spans="1:16" s="354" customFormat="1" ht="20.25" customHeight="1">
      <c r="A168" s="352"/>
      <c r="B168" s="352"/>
      <c r="C168" s="352"/>
      <c r="D168" s="352"/>
      <c r="E168" s="353"/>
      <c r="F168" s="353"/>
      <c r="G168" s="353"/>
      <c r="H168" s="353"/>
      <c r="I168" s="353"/>
      <c r="K168" s="555"/>
      <c r="L168" s="808"/>
      <c r="M168" s="808"/>
      <c r="N168" s="808"/>
      <c r="O168" s="808"/>
      <c r="P168" s="808"/>
    </row>
    <row r="169" spans="1:16" s="354" customFormat="1" ht="20.25" customHeight="1">
      <c r="A169" s="352"/>
      <c r="B169" s="352"/>
      <c r="C169" s="352"/>
      <c r="D169" s="352"/>
      <c r="E169" s="353"/>
      <c r="F169" s="353"/>
      <c r="G169" s="353"/>
      <c r="H169" s="353"/>
      <c r="I169" s="353"/>
      <c r="K169" s="555"/>
      <c r="L169" s="808"/>
      <c r="M169" s="808"/>
      <c r="N169" s="808"/>
      <c r="O169" s="808"/>
      <c r="P169" s="808"/>
    </row>
    <row r="170" spans="1:16" s="354" customFormat="1" ht="20.25" customHeight="1">
      <c r="A170" s="352"/>
      <c r="B170" s="352"/>
      <c r="C170" s="352"/>
      <c r="D170" s="352"/>
      <c r="E170" s="353"/>
      <c r="F170" s="353"/>
      <c r="G170" s="353"/>
      <c r="H170" s="353"/>
      <c r="I170" s="353"/>
      <c r="K170" s="555"/>
      <c r="L170" s="808"/>
      <c r="M170" s="808"/>
      <c r="N170" s="808"/>
      <c r="O170" s="808"/>
      <c r="P170" s="808"/>
    </row>
    <row r="171" spans="1:16" s="354" customFormat="1" ht="20.25" customHeight="1">
      <c r="A171" s="352"/>
      <c r="B171" s="352"/>
      <c r="C171" s="352"/>
      <c r="D171" s="352"/>
      <c r="E171" s="353"/>
      <c r="F171" s="353"/>
      <c r="G171" s="353"/>
      <c r="H171" s="353"/>
      <c r="I171" s="353"/>
      <c r="K171" s="555"/>
      <c r="L171" s="808"/>
      <c r="M171" s="808"/>
      <c r="N171" s="808"/>
      <c r="O171" s="808"/>
      <c r="P171" s="808"/>
    </row>
    <row r="172" spans="1:16" s="354" customFormat="1" ht="20.25" customHeight="1">
      <c r="A172" s="352"/>
      <c r="B172" s="352"/>
      <c r="C172" s="352"/>
      <c r="D172" s="352"/>
      <c r="E172" s="353"/>
      <c r="F172" s="353"/>
      <c r="G172" s="353"/>
      <c r="H172" s="353"/>
      <c r="I172" s="353"/>
      <c r="K172" s="555"/>
      <c r="L172" s="808"/>
      <c r="M172" s="808"/>
      <c r="N172" s="808"/>
      <c r="O172" s="808"/>
      <c r="P172" s="808"/>
    </row>
    <row r="173" spans="1:16" s="354" customFormat="1" ht="20.25" customHeight="1">
      <c r="A173" s="352"/>
      <c r="B173" s="352"/>
      <c r="C173" s="352"/>
      <c r="D173" s="352"/>
      <c r="E173" s="353"/>
      <c r="F173" s="353"/>
      <c r="G173" s="353"/>
      <c r="H173" s="353"/>
      <c r="I173" s="353"/>
      <c r="K173" s="555"/>
      <c r="L173" s="808"/>
      <c r="M173" s="808"/>
      <c r="N173" s="808"/>
      <c r="O173" s="808"/>
      <c r="P173" s="808"/>
    </row>
    <row r="174" spans="1:16" s="354" customFormat="1" ht="20.25" customHeight="1">
      <c r="A174" s="352"/>
      <c r="B174" s="352"/>
      <c r="C174" s="352"/>
      <c r="D174" s="352"/>
      <c r="E174" s="353"/>
      <c r="F174" s="353"/>
      <c r="G174" s="353"/>
      <c r="H174" s="353"/>
      <c r="I174" s="353"/>
      <c r="K174" s="555"/>
      <c r="L174" s="808"/>
      <c r="M174" s="808"/>
      <c r="N174" s="808"/>
      <c r="O174" s="808"/>
      <c r="P174" s="808"/>
    </row>
    <row r="175" spans="1:16" s="354" customFormat="1" ht="20.25" customHeight="1">
      <c r="A175" s="352"/>
      <c r="B175" s="352"/>
      <c r="C175" s="352"/>
      <c r="D175" s="352"/>
      <c r="E175" s="353"/>
      <c r="F175" s="353"/>
      <c r="G175" s="353"/>
      <c r="H175" s="353"/>
      <c r="I175" s="353"/>
      <c r="K175" s="555"/>
      <c r="L175" s="808"/>
      <c r="M175" s="808"/>
      <c r="N175" s="808"/>
      <c r="O175" s="808"/>
      <c r="P175" s="808"/>
    </row>
    <row r="176" spans="1:16" s="354" customFormat="1" ht="20.25" customHeight="1">
      <c r="A176" s="352"/>
      <c r="B176" s="352"/>
      <c r="C176" s="352"/>
      <c r="D176" s="352"/>
      <c r="E176" s="353"/>
      <c r="F176" s="353"/>
      <c r="G176" s="353"/>
      <c r="H176" s="353"/>
      <c r="I176" s="353"/>
      <c r="K176" s="555"/>
      <c r="L176" s="808"/>
      <c r="M176" s="808"/>
      <c r="N176" s="808"/>
      <c r="O176" s="808"/>
      <c r="P176" s="808"/>
    </row>
    <row r="177" spans="1:16" s="354" customFormat="1" ht="20.25" customHeight="1">
      <c r="A177" s="352"/>
      <c r="B177" s="352"/>
      <c r="C177" s="352"/>
      <c r="D177" s="352"/>
      <c r="E177" s="353"/>
      <c r="F177" s="353"/>
      <c r="G177" s="353"/>
      <c r="H177" s="353"/>
      <c r="I177" s="353"/>
      <c r="K177" s="555"/>
      <c r="L177" s="808"/>
      <c r="M177" s="808"/>
      <c r="N177" s="808"/>
      <c r="O177" s="808"/>
      <c r="P177" s="808"/>
    </row>
    <row r="178" spans="1:16" s="354" customFormat="1" ht="20.25" customHeight="1">
      <c r="A178" s="352"/>
      <c r="B178" s="352"/>
      <c r="C178" s="352"/>
      <c r="D178" s="352"/>
      <c r="E178" s="353"/>
      <c r="F178" s="353"/>
      <c r="G178" s="353"/>
      <c r="H178" s="353"/>
      <c r="I178" s="353"/>
      <c r="K178" s="555"/>
      <c r="L178" s="808"/>
      <c r="M178" s="808"/>
      <c r="N178" s="808"/>
      <c r="O178" s="808"/>
      <c r="P178" s="808"/>
    </row>
    <row r="179" spans="1:16" s="354" customFormat="1" ht="20.25" customHeight="1">
      <c r="A179" s="352"/>
      <c r="B179" s="352"/>
      <c r="C179" s="352"/>
      <c r="D179" s="352"/>
      <c r="E179" s="353"/>
      <c r="F179" s="353"/>
      <c r="G179" s="353"/>
      <c r="H179" s="353"/>
      <c r="I179" s="353"/>
      <c r="K179" s="555"/>
      <c r="L179" s="808"/>
      <c r="M179" s="808"/>
      <c r="N179" s="808"/>
      <c r="O179" s="808"/>
      <c r="P179" s="808"/>
    </row>
    <row r="180" spans="1:16" s="354" customFormat="1" ht="20.25" customHeight="1">
      <c r="A180" s="352"/>
      <c r="B180" s="352"/>
      <c r="C180" s="352"/>
      <c r="D180" s="352"/>
      <c r="E180" s="353"/>
      <c r="F180" s="353"/>
      <c r="G180" s="353"/>
      <c r="H180" s="353"/>
      <c r="I180" s="353"/>
      <c r="K180" s="555"/>
      <c r="L180" s="808"/>
      <c r="M180" s="808"/>
      <c r="N180" s="808"/>
      <c r="O180" s="808"/>
      <c r="P180" s="808"/>
    </row>
    <row r="181" spans="1:16" s="354" customFormat="1" ht="20.25" customHeight="1">
      <c r="A181" s="352"/>
      <c r="B181" s="352"/>
      <c r="C181" s="352"/>
      <c r="D181" s="352"/>
      <c r="E181" s="353"/>
      <c r="F181" s="353"/>
      <c r="G181" s="353"/>
      <c r="H181" s="353"/>
      <c r="I181" s="353"/>
      <c r="K181" s="555"/>
      <c r="L181" s="808"/>
      <c r="M181" s="808"/>
      <c r="N181" s="808"/>
      <c r="O181" s="808"/>
      <c r="P181" s="808"/>
    </row>
    <row r="182" spans="1:16" s="354" customFormat="1" ht="20.25" customHeight="1">
      <c r="A182" s="352"/>
      <c r="B182" s="352"/>
      <c r="C182" s="352"/>
      <c r="D182" s="352"/>
      <c r="E182" s="353"/>
      <c r="F182" s="353"/>
      <c r="G182" s="353"/>
      <c r="H182" s="353"/>
      <c r="I182" s="353"/>
      <c r="K182" s="555"/>
      <c r="L182" s="808"/>
      <c r="M182" s="808"/>
      <c r="N182" s="808"/>
      <c r="O182" s="808"/>
      <c r="P182" s="808"/>
    </row>
    <row r="183" spans="1:16" s="354" customFormat="1" ht="20.25" customHeight="1">
      <c r="A183" s="352"/>
      <c r="B183" s="352"/>
      <c r="C183" s="352"/>
      <c r="D183" s="352"/>
      <c r="E183" s="353"/>
      <c r="F183" s="353"/>
      <c r="G183" s="353"/>
      <c r="H183" s="353"/>
      <c r="I183" s="353"/>
      <c r="K183" s="555"/>
      <c r="L183" s="808"/>
      <c r="M183" s="808"/>
      <c r="N183" s="808"/>
      <c r="O183" s="808"/>
      <c r="P183" s="808"/>
    </row>
    <row r="184" spans="1:16" s="354" customFormat="1" ht="20.25" customHeight="1">
      <c r="A184" s="352"/>
      <c r="B184" s="352"/>
      <c r="C184" s="352"/>
      <c r="D184" s="352"/>
      <c r="E184" s="353"/>
      <c r="F184" s="353"/>
      <c r="G184" s="353"/>
      <c r="H184" s="353"/>
      <c r="I184" s="353"/>
      <c r="K184" s="555"/>
      <c r="L184" s="808"/>
      <c r="M184" s="808"/>
      <c r="N184" s="808"/>
      <c r="O184" s="808"/>
      <c r="P184" s="808"/>
    </row>
    <row r="185" spans="1:16" s="354" customFormat="1" ht="20.25" customHeight="1">
      <c r="A185" s="352"/>
      <c r="B185" s="352"/>
      <c r="C185" s="352"/>
      <c r="D185" s="352"/>
      <c r="E185" s="353"/>
      <c r="F185" s="353"/>
      <c r="G185" s="353"/>
      <c r="H185" s="353"/>
      <c r="I185" s="353"/>
      <c r="K185" s="555"/>
      <c r="L185" s="808"/>
      <c r="M185" s="808"/>
      <c r="N185" s="808"/>
      <c r="O185" s="808"/>
      <c r="P185" s="808"/>
    </row>
    <row r="186" spans="1:16" s="354" customFormat="1" ht="20.25" customHeight="1">
      <c r="A186" s="352"/>
      <c r="B186" s="352"/>
      <c r="C186" s="352"/>
      <c r="D186" s="352"/>
      <c r="E186" s="353"/>
      <c r="F186" s="353"/>
      <c r="G186" s="353"/>
      <c r="H186" s="353"/>
      <c r="I186" s="353"/>
      <c r="K186" s="555"/>
      <c r="L186" s="808"/>
      <c r="M186" s="808"/>
      <c r="N186" s="808"/>
      <c r="O186" s="808"/>
      <c r="P186" s="808"/>
    </row>
    <row r="187" spans="1:16" s="354" customFormat="1" ht="20.25" customHeight="1">
      <c r="A187" s="352"/>
      <c r="B187" s="352"/>
      <c r="C187" s="352"/>
      <c r="D187" s="352"/>
      <c r="E187" s="353"/>
      <c r="F187" s="353"/>
      <c r="G187" s="353"/>
      <c r="H187" s="353"/>
      <c r="I187" s="353"/>
      <c r="K187" s="555"/>
      <c r="L187" s="808"/>
      <c r="M187" s="808"/>
      <c r="N187" s="808"/>
      <c r="O187" s="808"/>
      <c r="P187" s="808"/>
    </row>
    <row r="188" spans="1:16" s="354" customFormat="1" ht="20.25" customHeight="1">
      <c r="A188" s="352"/>
      <c r="B188" s="352"/>
      <c r="C188" s="352"/>
      <c r="D188" s="352"/>
      <c r="E188" s="353"/>
      <c r="F188" s="353"/>
      <c r="G188" s="353"/>
      <c r="H188" s="353"/>
      <c r="I188" s="353"/>
      <c r="K188" s="555"/>
      <c r="L188" s="808"/>
      <c r="M188" s="808"/>
      <c r="N188" s="808"/>
      <c r="O188" s="808"/>
      <c r="P188" s="808"/>
    </row>
    <row r="189" spans="1:16" s="354" customFormat="1" ht="20.25" customHeight="1">
      <c r="A189" s="352"/>
      <c r="B189" s="352"/>
      <c r="C189" s="352"/>
      <c r="D189" s="352"/>
      <c r="E189" s="353"/>
      <c r="F189" s="353"/>
      <c r="G189" s="353"/>
      <c r="H189" s="353"/>
      <c r="I189" s="353"/>
      <c r="K189" s="555"/>
      <c r="L189" s="808"/>
      <c r="M189" s="808"/>
      <c r="N189" s="808"/>
      <c r="O189" s="808"/>
      <c r="P189" s="808"/>
    </row>
    <row r="190" spans="1:16" s="354" customFormat="1" ht="20.25" customHeight="1">
      <c r="A190" s="352"/>
      <c r="B190" s="352"/>
      <c r="C190" s="352"/>
      <c r="D190" s="352"/>
      <c r="E190" s="353"/>
      <c r="F190" s="353"/>
      <c r="G190" s="353"/>
      <c r="H190" s="353"/>
      <c r="I190" s="353"/>
      <c r="K190" s="555"/>
      <c r="L190" s="808"/>
      <c r="M190" s="808"/>
      <c r="N190" s="808"/>
      <c r="O190" s="808"/>
      <c r="P190" s="808"/>
    </row>
    <row r="191" spans="1:16" s="354" customFormat="1" ht="20.25" customHeight="1">
      <c r="A191" s="352"/>
      <c r="B191" s="352"/>
      <c r="C191" s="352"/>
      <c r="D191" s="352"/>
      <c r="E191" s="353"/>
      <c r="F191" s="353"/>
      <c r="G191" s="353"/>
      <c r="H191" s="353"/>
      <c r="I191" s="353"/>
      <c r="K191" s="555"/>
      <c r="L191" s="808"/>
      <c r="M191" s="808"/>
      <c r="N191" s="808"/>
      <c r="O191" s="808"/>
      <c r="P191" s="808"/>
    </row>
    <row r="192" spans="1:16" s="354" customFormat="1" ht="20.25" customHeight="1">
      <c r="A192" s="352"/>
      <c r="B192" s="352"/>
      <c r="C192" s="352"/>
      <c r="D192" s="352"/>
      <c r="E192" s="353"/>
      <c r="F192" s="353"/>
      <c r="G192" s="353"/>
      <c r="H192" s="353"/>
      <c r="I192" s="353"/>
      <c r="K192" s="555"/>
      <c r="L192" s="808"/>
      <c r="M192" s="808"/>
      <c r="N192" s="808"/>
      <c r="O192" s="808"/>
      <c r="P192" s="808"/>
    </row>
    <row r="193" spans="1:16" s="354" customFormat="1" ht="20.25" customHeight="1">
      <c r="A193" s="352"/>
      <c r="B193" s="352"/>
      <c r="C193" s="352"/>
      <c r="D193" s="352"/>
      <c r="E193" s="353"/>
      <c r="F193" s="353"/>
      <c r="G193" s="353"/>
      <c r="H193" s="353"/>
      <c r="I193" s="353"/>
      <c r="K193" s="555"/>
      <c r="L193" s="808"/>
      <c r="M193" s="808"/>
      <c r="N193" s="808"/>
      <c r="O193" s="808"/>
      <c r="P193" s="808"/>
    </row>
    <row r="194" spans="1:16" s="354" customFormat="1" ht="20.25" customHeight="1">
      <c r="A194" s="352"/>
      <c r="B194" s="352"/>
      <c r="C194" s="352"/>
      <c r="D194" s="352"/>
      <c r="E194" s="353"/>
      <c r="F194" s="353"/>
      <c r="G194" s="353"/>
      <c r="H194" s="353"/>
      <c r="I194" s="353"/>
      <c r="K194" s="555"/>
      <c r="L194" s="808"/>
      <c r="M194" s="808"/>
      <c r="N194" s="808"/>
      <c r="O194" s="808"/>
      <c r="P194" s="808"/>
    </row>
    <row r="195" spans="1:16" s="354" customFormat="1" ht="20.25" customHeight="1">
      <c r="A195" s="352"/>
      <c r="B195" s="352"/>
      <c r="C195" s="352"/>
      <c r="D195" s="352"/>
      <c r="E195" s="353"/>
      <c r="F195" s="353"/>
      <c r="G195" s="353"/>
      <c r="H195" s="353"/>
      <c r="I195" s="353"/>
      <c r="K195" s="555"/>
      <c r="L195" s="808"/>
      <c r="M195" s="808"/>
      <c r="N195" s="808"/>
      <c r="O195" s="808"/>
      <c r="P195" s="808"/>
    </row>
    <row r="196" spans="1:16" s="354" customFormat="1" ht="20.25" customHeight="1">
      <c r="A196" s="352"/>
      <c r="B196" s="352"/>
      <c r="C196" s="352"/>
      <c r="D196" s="352"/>
      <c r="E196" s="353"/>
      <c r="F196" s="353"/>
      <c r="G196" s="353"/>
      <c r="H196" s="353"/>
      <c r="I196" s="353"/>
      <c r="K196" s="555"/>
      <c r="L196" s="808"/>
      <c r="M196" s="808"/>
      <c r="N196" s="808"/>
      <c r="O196" s="808"/>
      <c r="P196" s="808"/>
    </row>
    <row r="197" spans="1:16" s="354" customFormat="1" ht="20.25" customHeight="1">
      <c r="A197" s="352"/>
      <c r="B197" s="352"/>
      <c r="C197" s="352"/>
      <c r="D197" s="352"/>
      <c r="E197" s="353"/>
      <c r="F197" s="353"/>
      <c r="G197" s="353"/>
      <c r="H197" s="353"/>
      <c r="I197" s="353"/>
      <c r="K197" s="555"/>
      <c r="L197" s="808"/>
      <c r="M197" s="808"/>
      <c r="N197" s="808"/>
      <c r="O197" s="808"/>
      <c r="P197" s="808"/>
    </row>
    <row r="198" spans="1:16" s="354" customFormat="1" ht="20.25" customHeight="1">
      <c r="A198" s="352"/>
      <c r="B198" s="352"/>
      <c r="C198" s="352"/>
      <c r="D198" s="352"/>
      <c r="E198" s="353"/>
      <c r="F198" s="353"/>
      <c r="G198" s="353"/>
      <c r="H198" s="353"/>
      <c r="I198" s="353"/>
      <c r="K198" s="555"/>
      <c r="L198" s="808"/>
      <c r="M198" s="808"/>
      <c r="N198" s="808"/>
      <c r="O198" s="808"/>
      <c r="P198" s="808"/>
    </row>
    <row r="199" spans="1:16" s="354" customFormat="1" ht="20.25" customHeight="1">
      <c r="A199" s="352"/>
      <c r="B199" s="352"/>
      <c r="C199" s="352"/>
      <c r="D199" s="352"/>
      <c r="E199" s="353"/>
      <c r="F199" s="353"/>
      <c r="G199" s="353"/>
      <c r="H199" s="353"/>
      <c r="I199" s="353"/>
      <c r="K199" s="555"/>
      <c r="L199" s="808"/>
      <c r="M199" s="808"/>
      <c r="N199" s="808"/>
      <c r="O199" s="808"/>
      <c r="P199" s="808"/>
    </row>
    <row r="200" spans="1:16" s="354" customFormat="1" ht="20.25" customHeight="1">
      <c r="A200" s="352"/>
      <c r="B200" s="352"/>
      <c r="C200" s="352"/>
      <c r="D200" s="352"/>
      <c r="E200" s="353"/>
      <c r="F200" s="353"/>
      <c r="G200" s="353"/>
      <c r="H200" s="353"/>
      <c r="I200" s="353"/>
      <c r="K200" s="555"/>
      <c r="L200" s="808"/>
      <c r="M200" s="808"/>
      <c r="N200" s="808"/>
      <c r="O200" s="808"/>
      <c r="P200" s="808"/>
    </row>
    <row r="201" spans="1:16" s="354" customFormat="1" ht="20.25" customHeight="1">
      <c r="A201" s="352"/>
      <c r="B201" s="352"/>
      <c r="C201" s="352"/>
      <c r="D201" s="352"/>
      <c r="E201" s="353"/>
      <c r="F201" s="353"/>
      <c r="G201" s="353"/>
      <c r="H201" s="353"/>
      <c r="I201" s="353"/>
      <c r="K201" s="555"/>
      <c r="L201" s="808"/>
      <c r="M201" s="808"/>
      <c r="N201" s="808"/>
      <c r="O201" s="808"/>
      <c r="P201" s="808"/>
    </row>
    <row r="202" spans="1:16" s="354" customFormat="1" ht="20.25" customHeight="1">
      <c r="A202" s="352"/>
      <c r="B202" s="352"/>
      <c r="C202" s="352"/>
      <c r="D202" s="352"/>
      <c r="E202" s="353"/>
      <c r="F202" s="353"/>
      <c r="G202" s="353"/>
      <c r="H202" s="353"/>
      <c r="I202" s="353"/>
      <c r="K202" s="555"/>
      <c r="L202" s="808"/>
      <c r="M202" s="808"/>
      <c r="N202" s="808"/>
      <c r="O202" s="808"/>
      <c r="P202" s="808"/>
    </row>
    <row r="203" spans="1:16" s="354" customFormat="1" ht="20.25" customHeight="1">
      <c r="A203" s="352"/>
      <c r="B203" s="352"/>
      <c r="C203" s="352"/>
      <c r="D203" s="352"/>
      <c r="E203" s="353"/>
      <c r="F203" s="353"/>
      <c r="G203" s="353"/>
      <c r="H203" s="353"/>
      <c r="I203" s="353"/>
      <c r="K203" s="555"/>
      <c r="L203" s="808"/>
      <c r="M203" s="808"/>
      <c r="N203" s="808"/>
      <c r="O203" s="808"/>
      <c r="P203" s="808"/>
    </row>
    <row r="204" spans="1:16" s="354" customFormat="1" ht="20.25" customHeight="1">
      <c r="A204" s="352"/>
      <c r="B204" s="352"/>
      <c r="C204" s="352"/>
      <c r="D204" s="352"/>
      <c r="E204" s="353"/>
      <c r="F204" s="353"/>
      <c r="G204" s="353"/>
      <c r="H204" s="353"/>
      <c r="I204" s="353"/>
      <c r="K204" s="555"/>
      <c r="L204" s="808"/>
      <c r="M204" s="808"/>
      <c r="N204" s="808"/>
      <c r="O204" s="808"/>
      <c r="P204" s="808"/>
    </row>
    <row r="205" spans="1:16" s="354" customFormat="1" ht="20.25" customHeight="1">
      <c r="A205" s="352"/>
      <c r="B205" s="352"/>
      <c r="C205" s="352"/>
      <c r="D205" s="352"/>
      <c r="E205" s="353"/>
      <c r="F205" s="353"/>
      <c r="G205" s="353"/>
      <c r="H205" s="353"/>
      <c r="I205" s="353"/>
      <c r="K205" s="555"/>
      <c r="L205" s="808"/>
      <c r="M205" s="808"/>
      <c r="N205" s="808"/>
      <c r="O205" s="808"/>
      <c r="P205" s="808"/>
    </row>
    <row r="206" spans="1:16" s="354" customFormat="1" ht="20.25" customHeight="1">
      <c r="A206" s="352"/>
      <c r="B206" s="352"/>
      <c r="C206" s="352"/>
      <c r="D206" s="352"/>
      <c r="E206" s="353"/>
      <c r="F206" s="353"/>
      <c r="G206" s="353"/>
      <c r="H206" s="353"/>
      <c r="I206" s="353"/>
      <c r="K206" s="555"/>
      <c r="L206" s="808"/>
      <c r="M206" s="808"/>
      <c r="N206" s="808"/>
      <c r="O206" s="808"/>
      <c r="P206" s="808"/>
    </row>
    <row r="207" spans="1:16" s="354" customFormat="1" ht="20.25" customHeight="1">
      <c r="A207" s="352"/>
      <c r="B207" s="352"/>
      <c r="C207" s="352"/>
      <c r="D207" s="352"/>
      <c r="E207" s="353"/>
      <c r="F207" s="353"/>
      <c r="G207" s="353"/>
      <c r="H207" s="353"/>
      <c r="I207" s="353"/>
      <c r="K207" s="555"/>
      <c r="L207" s="808"/>
      <c r="M207" s="808"/>
      <c r="N207" s="808"/>
      <c r="O207" s="808"/>
      <c r="P207" s="808"/>
    </row>
    <row r="208" spans="1:16" s="354" customFormat="1" ht="20.25" customHeight="1">
      <c r="A208" s="352"/>
      <c r="B208" s="352"/>
      <c r="C208" s="352"/>
      <c r="D208" s="352"/>
      <c r="E208" s="353"/>
      <c r="F208" s="353"/>
      <c r="G208" s="353"/>
      <c r="H208" s="353"/>
      <c r="I208" s="353"/>
      <c r="K208" s="555"/>
      <c r="L208" s="808"/>
      <c r="M208" s="808"/>
      <c r="N208" s="808"/>
      <c r="O208" s="808"/>
      <c r="P208" s="808"/>
    </row>
    <row r="209" spans="1:16" s="354" customFormat="1" ht="20.25" customHeight="1">
      <c r="A209" s="352"/>
      <c r="B209" s="352"/>
      <c r="C209" s="352"/>
      <c r="D209" s="352"/>
      <c r="E209" s="353"/>
      <c r="F209" s="353"/>
      <c r="G209" s="353"/>
      <c r="H209" s="353"/>
      <c r="I209" s="353"/>
      <c r="K209" s="555"/>
      <c r="L209" s="808"/>
      <c r="M209" s="808"/>
      <c r="N209" s="808"/>
      <c r="O209" s="808"/>
      <c r="P209" s="808"/>
    </row>
    <row r="210" spans="1:16" s="354" customFormat="1" ht="20.25" customHeight="1">
      <c r="A210" s="352"/>
      <c r="B210" s="352"/>
      <c r="C210" s="352"/>
      <c r="D210" s="352"/>
      <c r="E210" s="353"/>
      <c r="F210" s="353"/>
      <c r="G210" s="353"/>
      <c r="H210" s="353"/>
      <c r="I210" s="353"/>
      <c r="K210" s="555"/>
      <c r="L210" s="808"/>
      <c r="M210" s="808"/>
      <c r="N210" s="808"/>
      <c r="O210" s="808"/>
      <c r="P210" s="808"/>
    </row>
    <row r="211" spans="1:16" s="354" customFormat="1" ht="20.25" customHeight="1">
      <c r="A211" s="352"/>
      <c r="B211" s="352"/>
      <c r="C211" s="352"/>
      <c r="D211" s="352"/>
      <c r="E211" s="353"/>
      <c r="F211" s="353"/>
      <c r="G211" s="353"/>
      <c r="H211" s="353"/>
      <c r="I211" s="353"/>
      <c r="K211" s="555"/>
      <c r="L211" s="808"/>
      <c r="M211" s="808"/>
      <c r="N211" s="808"/>
      <c r="O211" s="808"/>
      <c r="P211" s="808"/>
    </row>
    <row r="212" spans="1:16" s="354" customFormat="1" ht="20.25" customHeight="1">
      <c r="A212" s="352"/>
      <c r="B212" s="352"/>
      <c r="C212" s="352"/>
      <c r="D212" s="352"/>
      <c r="E212" s="353"/>
      <c r="F212" s="353"/>
      <c r="G212" s="353"/>
      <c r="H212" s="353"/>
      <c r="I212" s="353"/>
      <c r="K212" s="555"/>
      <c r="L212" s="808"/>
      <c r="M212" s="808"/>
      <c r="N212" s="808"/>
      <c r="O212" s="808"/>
      <c r="P212" s="808"/>
    </row>
    <row r="213" spans="1:16" s="354" customFormat="1" ht="20.25" customHeight="1">
      <c r="A213" s="352"/>
      <c r="B213" s="352"/>
      <c r="C213" s="352"/>
      <c r="D213" s="352"/>
      <c r="E213" s="353"/>
      <c r="F213" s="353"/>
      <c r="G213" s="353"/>
      <c r="H213" s="353"/>
      <c r="I213" s="353"/>
      <c r="K213" s="555"/>
      <c r="L213" s="808"/>
      <c r="M213" s="808"/>
      <c r="N213" s="808"/>
      <c r="O213" s="808"/>
      <c r="P213" s="808"/>
    </row>
    <row r="214" spans="1:16" s="354" customFormat="1" ht="20.25" customHeight="1">
      <c r="A214" s="352"/>
      <c r="B214" s="352"/>
      <c r="C214" s="352"/>
      <c r="D214" s="352"/>
      <c r="E214" s="353"/>
      <c r="F214" s="353"/>
      <c r="G214" s="353"/>
      <c r="H214" s="353"/>
      <c r="I214" s="353"/>
      <c r="K214" s="555"/>
      <c r="L214" s="808"/>
      <c r="M214" s="808"/>
      <c r="N214" s="808"/>
      <c r="O214" s="808"/>
      <c r="P214" s="808"/>
    </row>
    <row r="215" spans="1:16" s="354" customFormat="1" ht="20.25" customHeight="1">
      <c r="A215" s="352"/>
      <c r="B215" s="352"/>
      <c r="C215" s="352"/>
      <c r="D215" s="352"/>
      <c r="E215" s="353"/>
      <c r="F215" s="353"/>
      <c r="G215" s="353"/>
      <c r="H215" s="353"/>
      <c r="I215" s="353"/>
      <c r="K215" s="555"/>
      <c r="L215" s="808"/>
      <c r="M215" s="808"/>
      <c r="N215" s="808"/>
      <c r="O215" s="808"/>
      <c r="P215" s="808"/>
    </row>
    <row r="216" spans="1:16" s="354" customFormat="1" ht="20.25" customHeight="1">
      <c r="A216" s="352"/>
      <c r="B216" s="352"/>
      <c r="C216" s="352"/>
      <c r="D216" s="352"/>
      <c r="E216" s="353"/>
      <c r="F216" s="353"/>
      <c r="G216" s="353"/>
      <c r="H216" s="353"/>
      <c r="I216" s="353"/>
      <c r="K216" s="555"/>
      <c r="L216" s="808"/>
      <c r="M216" s="808"/>
      <c r="N216" s="808"/>
      <c r="O216" s="808"/>
      <c r="P216" s="808"/>
    </row>
    <row r="217" spans="1:16" s="354" customFormat="1" ht="20.25" customHeight="1">
      <c r="A217" s="352"/>
      <c r="B217" s="352"/>
      <c r="C217" s="352"/>
      <c r="D217" s="352"/>
      <c r="E217" s="353"/>
      <c r="F217" s="353"/>
      <c r="G217" s="353"/>
      <c r="H217" s="353"/>
      <c r="I217" s="353"/>
      <c r="K217" s="555"/>
      <c r="L217" s="808"/>
      <c r="M217" s="808"/>
      <c r="N217" s="808"/>
      <c r="O217" s="808"/>
      <c r="P217" s="808"/>
    </row>
    <row r="218" spans="1:16" s="354" customFormat="1" ht="20.25" customHeight="1">
      <c r="A218" s="352"/>
      <c r="B218" s="352"/>
      <c r="C218" s="352"/>
      <c r="D218" s="352"/>
      <c r="E218" s="353"/>
      <c r="F218" s="353"/>
      <c r="G218" s="353"/>
      <c r="H218" s="353"/>
      <c r="I218" s="353"/>
      <c r="K218" s="555"/>
      <c r="L218" s="808"/>
      <c r="M218" s="808"/>
      <c r="N218" s="808"/>
      <c r="O218" s="808"/>
      <c r="P218" s="808"/>
    </row>
    <row r="219" spans="1:16" s="354" customFormat="1" ht="20.25" customHeight="1">
      <c r="A219" s="352"/>
      <c r="B219" s="352"/>
      <c r="C219" s="352"/>
      <c r="D219" s="352"/>
      <c r="E219" s="353"/>
      <c r="F219" s="353"/>
      <c r="G219" s="353"/>
      <c r="H219" s="353"/>
      <c r="I219" s="353"/>
      <c r="K219" s="555"/>
      <c r="L219" s="808"/>
      <c r="M219" s="808"/>
      <c r="N219" s="808"/>
      <c r="O219" s="808"/>
      <c r="P219" s="808"/>
    </row>
    <row r="220" spans="1:16" s="354" customFormat="1" ht="20.25" customHeight="1">
      <c r="A220" s="352"/>
      <c r="B220" s="352"/>
      <c r="C220" s="352"/>
      <c r="D220" s="352"/>
      <c r="E220" s="353"/>
      <c r="F220" s="353"/>
      <c r="G220" s="353"/>
      <c r="H220" s="353"/>
      <c r="I220" s="353"/>
      <c r="K220" s="555"/>
      <c r="L220" s="808"/>
      <c r="M220" s="808"/>
      <c r="N220" s="808"/>
      <c r="O220" s="808"/>
      <c r="P220" s="808"/>
    </row>
    <row r="221" spans="1:16" s="354" customFormat="1" ht="20.25" customHeight="1">
      <c r="A221" s="352"/>
      <c r="B221" s="352"/>
      <c r="C221" s="352"/>
      <c r="D221" s="352"/>
      <c r="E221" s="353"/>
      <c r="F221" s="353"/>
      <c r="G221" s="353"/>
      <c r="H221" s="353"/>
      <c r="I221" s="353"/>
      <c r="K221" s="555"/>
      <c r="L221" s="808"/>
      <c r="M221" s="808"/>
      <c r="N221" s="808"/>
      <c r="O221" s="808"/>
      <c r="P221" s="808"/>
    </row>
    <row r="222" spans="1:16" s="354" customFormat="1" ht="20.25" customHeight="1">
      <c r="A222" s="352"/>
      <c r="B222" s="352"/>
      <c r="C222" s="352"/>
      <c r="D222" s="352"/>
      <c r="E222" s="353"/>
      <c r="F222" s="353"/>
      <c r="G222" s="353"/>
      <c r="H222" s="353"/>
      <c r="I222" s="353"/>
      <c r="K222" s="555"/>
      <c r="L222" s="808"/>
      <c r="M222" s="808"/>
      <c r="N222" s="808"/>
      <c r="O222" s="808"/>
      <c r="P222" s="808"/>
    </row>
    <row r="223" spans="1:16" s="354" customFormat="1" ht="20.25" customHeight="1">
      <c r="A223" s="352"/>
      <c r="B223" s="352"/>
      <c r="C223" s="352"/>
      <c r="D223" s="352"/>
      <c r="E223" s="353"/>
      <c r="F223" s="353"/>
      <c r="G223" s="353"/>
      <c r="H223" s="353"/>
      <c r="I223" s="353"/>
      <c r="K223" s="555"/>
      <c r="L223" s="808"/>
      <c r="M223" s="808"/>
      <c r="N223" s="808"/>
      <c r="O223" s="808"/>
      <c r="P223" s="808"/>
    </row>
    <row r="224" spans="1:16" s="354" customFormat="1" ht="20.25" customHeight="1">
      <c r="A224" s="352"/>
      <c r="B224" s="352"/>
      <c r="C224" s="352"/>
      <c r="D224" s="352"/>
      <c r="E224" s="353"/>
      <c r="F224" s="353"/>
      <c r="G224" s="353"/>
      <c r="H224" s="353"/>
      <c r="I224" s="353"/>
      <c r="K224" s="555"/>
      <c r="L224" s="808"/>
      <c r="M224" s="808"/>
      <c r="N224" s="808"/>
      <c r="O224" s="808"/>
      <c r="P224" s="808"/>
    </row>
    <row r="225" spans="1:16" s="354" customFormat="1" ht="20.25" customHeight="1">
      <c r="A225" s="352"/>
      <c r="B225" s="352"/>
      <c r="C225" s="352"/>
      <c r="D225" s="352"/>
      <c r="E225" s="353"/>
      <c r="F225" s="353"/>
      <c r="G225" s="353"/>
      <c r="H225" s="353"/>
      <c r="I225" s="353"/>
      <c r="K225" s="555"/>
      <c r="L225" s="808"/>
      <c r="M225" s="808"/>
      <c r="N225" s="808"/>
      <c r="O225" s="808"/>
      <c r="P225" s="808"/>
    </row>
    <row r="226" spans="1:16" s="354" customFormat="1" ht="20.25" customHeight="1">
      <c r="A226" s="352"/>
      <c r="B226" s="352"/>
      <c r="C226" s="352"/>
      <c r="D226" s="352"/>
      <c r="E226" s="353"/>
      <c r="F226" s="353"/>
      <c r="G226" s="353"/>
      <c r="H226" s="353"/>
      <c r="I226" s="353"/>
      <c r="K226" s="555"/>
      <c r="L226" s="808"/>
      <c r="M226" s="808"/>
      <c r="N226" s="808"/>
      <c r="O226" s="808"/>
      <c r="P226" s="808"/>
    </row>
    <row r="227" spans="1:16" s="354" customFormat="1" ht="20.25" customHeight="1">
      <c r="A227" s="352"/>
      <c r="B227" s="352"/>
      <c r="C227" s="352"/>
      <c r="D227" s="352"/>
      <c r="E227" s="353"/>
      <c r="F227" s="353"/>
      <c r="G227" s="353"/>
      <c r="H227" s="353"/>
      <c r="I227" s="353"/>
      <c r="K227" s="555"/>
      <c r="L227" s="808"/>
      <c r="M227" s="808"/>
      <c r="N227" s="808"/>
      <c r="O227" s="808"/>
      <c r="P227" s="808"/>
    </row>
    <row r="228" spans="1:16" s="354" customFormat="1" ht="20.25" customHeight="1">
      <c r="A228" s="352"/>
      <c r="B228" s="352"/>
      <c r="C228" s="352"/>
      <c r="D228" s="352"/>
      <c r="E228" s="353"/>
      <c r="F228" s="353"/>
      <c r="G228" s="353"/>
      <c r="H228" s="353"/>
      <c r="I228" s="353"/>
      <c r="K228" s="555"/>
      <c r="L228" s="808"/>
      <c r="M228" s="808"/>
      <c r="N228" s="808"/>
      <c r="O228" s="808"/>
      <c r="P228" s="808"/>
    </row>
    <row r="229" spans="1:16" s="354" customFormat="1" ht="20.25" customHeight="1">
      <c r="A229" s="352"/>
      <c r="B229" s="352"/>
      <c r="C229" s="352"/>
      <c r="D229" s="352"/>
      <c r="E229" s="353"/>
      <c r="F229" s="353"/>
      <c r="G229" s="353"/>
      <c r="H229" s="353"/>
      <c r="I229" s="353"/>
      <c r="K229" s="555"/>
      <c r="L229" s="808"/>
      <c r="M229" s="808"/>
      <c r="N229" s="808"/>
      <c r="O229" s="808"/>
      <c r="P229" s="808"/>
    </row>
    <row r="230" spans="1:16" s="354" customFormat="1" ht="20.25" customHeight="1">
      <c r="A230" s="352"/>
      <c r="B230" s="352"/>
      <c r="C230" s="352"/>
      <c r="D230" s="352"/>
      <c r="E230" s="353"/>
      <c r="F230" s="353"/>
      <c r="G230" s="353"/>
      <c r="H230" s="353"/>
      <c r="I230" s="353"/>
      <c r="K230" s="555"/>
      <c r="L230" s="808"/>
      <c r="M230" s="808"/>
      <c r="N230" s="808"/>
      <c r="O230" s="808"/>
      <c r="P230" s="808"/>
    </row>
    <row r="231" spans="1:16" s="354" customFormat="1" ht="20.25" customHeight="1">
      <c r="A231" s="352"/>
      <c r="B231" s="352"/>
      <c r="C231" s="352"/>
      <c r="D231" s="352"/>
      <c r="E231" s="353"/>
      <c r="F231" s="353"/>
      <c r="G231" s="353"/>
      <c r="H231" s="353"/>
      <c r="I231" s="353"/>
      <c r="K231" s="555"/>
      <c r="L231" s="808"/>
      <c r="M231" s="808"/>
      <c r="N231" s="808"/>
      <c r="O231" s="808"/>
      <c r="P231" s="808"/>
    </row>
    <row r="232" spans="1:16" s="354" customFormat="1" ht="20.25" customHeight="1">
      <c r="A232" s="352"/>
      <c r="B232" s="352"/>
      <c r="C232" s="352"/>
      <c r="D232" s="352"/>
      <c r="E232" s="353"/>
      <c r="F232" s="353"/>
      <c r="G232" s="353"/>
      <c r="H232" s="353"/>
      <c r="I232" s="353"/>
      <c r="K232" s="555"/>
      <c r="L232" s="808"/>
      <c r="M232" s="808"/>
      <c r="N232" s="808"/>
      <c r="O232" s="808"/>
      <c r="P232" s="808"/>
    </row>
    <row r="233" spans="1:16" s="354" customFormat="1" ht="20.25" customHeight="1">
      <c r="A233" s="352"/>
      <c r="B233" s="352"/>
      <c r="C233" s="352"/>
      <c r="D233" s="352"/>
      <c r="E233" s="353"/>
      <c r="F233" s="353"/>
      <c r="G233" s="353"/>
      <c r="H233" s="353"/>
      <c r="I233" s="353"/>
      <c r="K233" s="555"/>
      <c r="L233" s="808"/>
      <c r="M233" s="808"/>
      <c r="N233" s="808"/>
      <c r="O233" s="808"/>
      <c r="P233" s="808"/>
    </row>
    <row r="234" spans="1:16" s="354" customFormat="1" ht="20.25" customHeight="1">
      <c r="A234" s="352"/>
      <c r="B234" s="352"/>
      <c r="C234" s="352"/>
      <c r="D234" s="352"/>
      <c r="E234" s="353"/>
      <c r="F234" s="353"/>
      <c r="G234" s="353"/>
      <c r="H234" s="353"/>
      <c r="I234" s="353"/>
      <c r="K234" s="555"/>
      <c r="L234" s="808"/>
      <c r="M234" s="808"/>
      <c r="N234" s="808"/>
      <c r="O234" s="808"/>
      <c r="P234" s="808"/>
    </row>
    <row r="235" spans="1:16" s="354" customFormat="1" ht="20.25" customHeight="1">
      <c r="A235" s="352"/>
      <c r="B235" s="352"/>
      <c r="C235" s="352"/>
      <c r="D235" s="352"/>
      <c r="E235" s="353"/>
      <c r="F235" s="353"/>
      <c r="G235" s="353"/>
      <c r="H235" s="353"/>
      <c r="I235" s="353"/>
      <c r="K235" s="555"/>
      <c r="L235" s="808"/>
      <c r="M235" s="808"/>
      <c r="N235" s="808"/>
      <c r="O235" s="808"/>
      <c r="P235" s="808"/>
    </row>
    <row r="236" spans="1:16" s="354" customFormat="1" ht="20.25" customHeight="1">
      <c r="A236" s="352"/>
      <c r="B236" s="352"/>
      <c r="C236" s="352"/>
      <c r="D236" s="352"/>
      <c r="E236" s="353"/>
      <c r="F236" s="353"/>
      <c r="G236" s="353"/>
      <c r="H236" s="353"/>
      <c r="I236" s="353"/>
      <c r="K236" s="555"/>
      <c r="L236" s="808"/>
      <c r="M236" s="808"/>
      <c r="N236" s="808"/>
      <c r="O236" s="808"/>
      <c r="P236" s="808"/>
    </row>
    <row r="237" spans="1:16" s="354" customFormat="1" ht="20.25" customHeight="1">
      <c r="A237" s="352"/>
      <c r="B237" s="352"/>
      <c r="C237" s="352"/>
      <c r="D237" s="352"/>
      <c r="E237" s="353"/>
      <c r="F237" s="353"/>
      <c r="G237" s="353"/>
      <c r="H237" s="353"/>
      <c r="I237" s="353"/>
      <c r="K237" s="555"/>
      <c r="L237" s="808"/>
      <c r="M237" s="808"/>
      <c r="N237" s="808"/>
      <c r="O237" s="808"/>
      <c r="P237" s="808"/>
    </row>
    <row r="238" spans="1:16" s="354" customFormat="1" ht="20.25" customHeight="1">
      <c r="A238" s="352"/>
      <c r="B238" s="352"/>
      <c r="C238" s="352"/>
      <c r="D238" s="352"/>
      <c r="E238" s="353"/>
      <c r="F238" s="353"/>
      <c r="G238" s="353"/>
      <c r="H238" s="353"/>
      <c r="I238" s="353"/>
      <c r="K238" s="555"/>
      <c r="L238" s="808"/>
      <c r="M238" s="808"/>
      <c r="N238" s="808"/>
      <c r="O238" s="808"/>
      <c r="P238" s="808"/>
    </row>
    <row r="239" spans="1:16" s="354" customFormat="1" ht="20.25" customHeight="1">
      <c r="A239" s="352"/>
      <c r="B239" s="352"/>
      <c r="C239" s="352"/>
      <c r="D239" s="352"/>
      <c r="E239" s="353"/>
      <c r="F239" s="353"/>
      <c r="G239" s="353"/>
      <c r="H239" s="353"/>
      <c r="I239" s="353"/>
      <c r="K239" s="555"/>
      <c r="L239" s="808"/>
      <c r="M239" s="808"/>
      <c r="N239" s="808"/>
      <c r="O239" s="808"/>
      <c r="P239" s="808"/>
    </row>
    <row r="240" spans="1:16" s="354" customFormat="1" ht="20.25" customHeight="1">
      <c r="A240" s="352"/>
      <c r="B240" s="352"/>
      <c r="C240" s="352"/>
      <c r="D240" s="352"/>
      <c r="E240" s="353"/>
      <c r="F240" s="353"/>
      <c r="G240" s="353"/>
      <c r="H240" s="353"/>
      <c r="I240" s="353"/>
      <c r="K240" s="555"/>
      <c r="L240" s="808"/>
      <c r="M240" s="808"/>
      <c r="N240" s="808"/>
      <c r="O240" s="808"/>
      <c r="P240" s="808"/>
    </row>
    <row r="241" spans="1:16" s="354" customFormat="1" ht="20.25" customHeight="1">
      <c r="A241" s="352"/>
      <c r="B241" s="352"/>
      <c r="C241" s="352"/>
      <c r="D241" s="352"/>
      <c r="E241" s="353"/>
      <c r="F241" s="353"/>
      <c r="G241" s="353"/>
      <c r="H241" s="353"/>
      <c r="I241" s="353"/>
      <c r="K241" s="555"/>
      <c r="L241" s="808"/>
      <c r="M241" s="808"/>
      <c r="N241" s="808"/>
      <c r="O241" s="808"/>
      <c r="P241" s="808"/>
    </row>
    <row r="242" spans="1:16" s="354" customFormat="1" ht="20.25" customHeight="1">
      <c r="A242" s="352"/>
      <c r="B242" s="352"/>
      <c r="C242" s="352"/>
      <c r="D242" s="352"/>
      <c r="E242" s="353"/>
      <c r="F242" s="353"/>
      <c r="G242" s="353"/>
      <c r="H242" s="353"/>
      <c r="I242" s="353"/>
      <c r="K242" s="555"/>
      <c r="L242" s="808"/>
      <c r="M242" s="808"/>
      <c r="N242" s="808"/>
      <c r="O242" s="808"/>
      <c r="P242" s="808"/>
    </row>
    <row r="243" spans="1:16" s="354" customFormat="1" ht="20.25" customHeight="1">
      <c r="A243" s="352"/>
      <c r="B243" s="352"/>
      <c r="C243" s="352"/>
      <c r="D243" s="352"/>
      <c r="E243" s="353"/>
      <c r="F243" s="353"/>
      <c r="G243" s="353"/>
      <c r="H243" s="353"/>
      <c r="I243" s="353"/>
      <c r="K243" s="555"/>
      <c r="L243" s="808"/>
      <c r="M243" s="808"/>
      <c r="N243" s="808"/>
      <c r="O243" s="808"/>
      <c r="P243" s="808"/>
    </row>
    <row r="244" spans="1:16" s="354" customFormat="1" ht="20.25" customHeight="1">
      <c r="A244" s="352"/>
      <c r="B244" s="352"/>
      <c r="C244" s="352"/>
      <c r="D244" s="352"/>
      <c r="E244" s="353"/>
      <c r="F244" s="353"/>
      <c r="G244" s="353"/>
      <c r="H244" s="353"/>
      <c r="I244" s="353"/>
      <c r="K244" s="555"/>
      <c r="L244" s="808"/>
      <c r="M244" s="808"/>
      <c r="N244" s="808"/>
      <c r="O244" s="808"/>
      <c r="P244" s="808"/>
    </row>
    <row r="245" spans="1:16" s="354" customFormat="1" ht="20.25" customHeight="1">
      <c r="A245" s="352"/>
      <c r="B245" s="352"/>
      <c r="C245" s="352"/>
      <c r="D245" s="352"/>
      <c r="E245" s="353"/>
      <c r="F245" s="353"/>
      <c r="G245" s="353"/>
      <c r="H245" s="353"/>
      <c r="I245" s="353"/>
      <c r="K245" s="555"/>
      <c r="L245" s="808"/>
      <c r="M245" s="808"/>
      <c r="N245" s="808"/>
      <c r="O245" s="808"/>
      <c r="P245" s="808"/>
    </row>
    <row r="246" spans="1:16" s="354" customFormat="1" ht="20.25" customHeight="1">
      <c r="A246" s="352"/>
      <c r="B246" s="352"/>
      <c r="C246" s="352"/>
      <c r="D246" s="352"/>
      <c r="E246" s="353"/>
      <c r="F246" s="353"/>
      <c r="G246" s="353"/>
      <c r="H246" s="353"/>
      <c r="I246" s="353"/>
      <c r="K246" s="555"/>
      <c r="L246" s="808"/>
      <c r="M246" s="808"/>
      <c r="N246" s="808"/>
      <c r="O246" s="808"/>
      <c r="P246" s="808"/>
    </row>
    <row r="247" spans="1:16" s="354" customFormat="1" ht="20.25" customHeight="1">
      <c r="A247" s="352"/>
      <c r="B247" s="352"/>
      <c r="C247" s="352"/>
      <c r="D247" s="352"/>
      <c r="E247" s="353"/>
      <c r="F247" s="353"/>
      <c r="G247" s="353"/>
      <c r="H247" s="353"/>
      <c r="I247" s="353"/>
      <c r="K247" s="555"/>
      <c r="L247" s="808"/>
      <c r="M247" s="808"/>
      <c r="N247" s="808"/>
      <c r="O247" s="808"/>
      <c r="P247" s="808"/>
    </row>
    <row r="248" spans="1:16" s="354" customFormat="1" ht="20.25" customHeight="1">
      <c r="A248" s="352"/>
      <c r="B248" s="352"/>
      <c r="C248" s="352"/>
      <c r="D248" s="352"/>
      <c r="E248" s="353"/>
      <c r="F248" s="353"/>
      <c r="G248" s="353"/>
      <c r="H248" s="353"/>
      <c r="I248" s="353"/>
      <c r="K248" s="555"/>
      <c r="L248" s="808"/>
      <c r="M248" s="808"/>
      <c r="N248" s="808"/>
      <c r="O248" s="808"/>
      <c r="P248" s="808"/>
    </row>
    <row r="249" spans="1:16" s="354" customFormat="1" ht="20.25" customHeight="1">
      <c r="A249" s="352"/>
      <c r="B249" s="352"/>
      <c r="C249" s="352"/>
      <c r="D249" s="352"/>
      <c r="E249" s="353"/>
      <c r="F249" s="353"/>
      <c r="G249" s="353"/>
      <c r="H249" s="353"/>
      <c r="I249" s="353"/>
      <c r="K249" s="555"/>
      <c r="L249" s="808"/>
      <c r="M249" s="808"/>
      <c r="N249" s="808"/>
      <c r="O249" s="808"/>
      <c r="P249" s="808"/>
    </row>
    <row r="250" spans="1:16" s="354" customFormat="1" ht="20.25" customHeight="1">
      <c r="A250" s="352"/>
      <c r="B250" s="352"/>
      <c r="C250" s="352"/>
      <c r="D250" s="352"/>
      <c r="E250" s="353"/>
      <c r="F250" s="353"/>
      <c r="G250" s="353"/>
      <c r="H250" s="353"/>
      <c r="I250" s="353"/>
      <c r="K250" s="555"/>
      <c r="L250" s="808"/>
      <c r="M250" s="808"/>
      <c r="N250" s="808"/>
      <c r="O250" s="808"/>
      <c r="P250" s="808"/>
    </row>
    <row r="251" spans="1:16" s="354" customFormat="1" ht="20.25" customHeight="1">
      <c r="A251" s="352"/>
      <c r="B251" s="352"/>
      <c r="C251" s="352"/>
      <c r="D251" s="352"/>
      <c r="E251" s="353"/>
      <c r="F251" s="353"/>
      <c r="G251" s="353"/>
      <c r="H251" s="353"/>
      <c r="I251" s="353"/>
      <c r="K251" s="555"/>
      <c r="L251" s="808"/>
      <c r="M251" s="808"/>
      <c r="N251" s="808"/>
      <c r="O251" s="808"/>
      <c r="P251" s="808"/>
    </row>
    <row r="252" spans="1:16" s="354" customFormat="1" ht="20.25" customHeight="1">
      <c r="A252" s="352"/>
      <c r="B252" s="352"/>
      <c r="C252" s="352"/>
      <c r="D252" s="352"/>
      <c r="E252" s="353"/>
      <c r="F252" s="353"/>
      <c r="G252" s="353"/>
      <c r="H252" s="353"/>
      <c r="I252" s="353"/>
      <c r="K252" s="555"/>
      <c r="L252" s="808"/>
      <c r="M252" s="808"/>
      <c r="N252" s="808"/>
      <c r="O252" s="808"/>
      <c r="P252" s="808"/>
    </row>
    <row r="253" spans="1:16" s="354" customFormat="1" ht="20.25" customHeight="1">
      <c r="A253" s="352"/>
      <c r="B253" s="352"/>
      <c r="C253" s="352"/>
      <c r="D253" s="352"/>
      <c r="E253" s="353"/>
      <c r="F253" s="353"/>
      <c r="G253" s="353"/>
      <c r="H253" s="353"/>
      <c r="I253" s="353"/>
      <c r="K253" s="555"/>
      <c r="L253" s="808"/>
      <c r="M253" s="808"/>
      <c r="N253" s="808"/>
      <c r="O253" s="808"/>
      <c r="P253" s="808"/>
    </row>
    <row r="254" spans="1:16" s="354" customFormat="1" ht="20.25" customHeight="1">
      <c r="A254" s="352"/>
      <c r="B254" s="352"/>
      <c r="C254" s="352"/>
      <c r="D254" s="352"/>
      <c r="E254" s="353"/>
      <c r="F254" s="353"/>
      <c r="G254" s="353"/>
      <c r="H254" s="353"/>
      <c r="I254" s="353"/>
      <c r="K254" s="555"/>
      <c r="L254" s="808"/>
      <c r="M254" s="808"/>
      <c r="N254" s="808"/>
      <c r="O254" s="808"/>
      <c r="P254" s="808"/>
    </row>
    <row r="255" spans="1:16" s="354" customFormat="1" ht="20.25" customHeight="1">
      <c r="A255" s="352"/>
      <c r="B255" s="352"/>
      <c r="C255" s="352"/>
      <c r="D255" s="352"/>
      <c r="E255" s="353"/>
      <c r="F255" s="353"/>
      <c r="G255" s="353"/>
      <c r="H255" s="353"/>
      <c r="I255" s="353"/>
      <c r="K255" s="555"/>
      <c r="L255" s="808"/>
      <c r="M255" s="808"/>
      <c r="N255" s="808"/>
      <c r="O255" s="808"/>
      <c r="P255" s="808"/>
    </row>
    <row r="256" spans="1:16" s="354" customFormat="1" ht="20.25" customHeight="1">
      <c r="A256" s="352"/>
      <c r="B256" s="352"/>
      <c r="C256" s="352"/>
      <c r="D256" s="352"/>
      <c r="E256" s="353"/>
      <c r="F256" s="353"/>
      <c r="G256" s="353"/>
      <c r="H256" s="353"/>
      <c r="I256" s="353"/>
      <c r="K256" s="555"/>
      <c r="L256" s="808"/>
      <c r="M256" s="808"/>
      <c r="N256" s="808"/>
      <c r="O256" s="808"/>
      <c r="P256" s="808"/>
    </row>
    <row r="257" spans="1:16" s="354" customFormat="1" ht="20.25" customHeight="1">
      <c r="A257" s="352"/>
      <c r="B257" s="352"/>
      <c r="C257" s="352"/>
      <c r="D257" s="352"/>
      <c r="E257" s="353"/>
      <c r="F257" s="353"/>
      <c r="G257" s="353"/>
      <c r="H257" s="353"/>
      <c r="I257" s="353"/>
      <c r="K257" s="555"/>
      <c r="L257" s="808"/>
      <c r="M257" s="808"/>
      <c r="N257" s="808"/>
      <c r="O257" s="808"/>
      <c r="P257" s="808"/>
    </row>
    <row r="258" spans="1:16" s="354" customFormat="1" ht="20.25" customHeight="1">
      <c r="A258" s="352"/>
      <c r="B258" s="352"/>
      <c r="C258" s="352"/>
      <c r="D258" s="352"/>
      <c r="E258" s="353"/>
      <c r="F258" s="353"/>
      <c r="G258" s="353"/>
      <c r="H258" s="353"/>
      <c r="I258" s="353"/>
      <c r="K258" s="555"/>
      <c r="L258" s="808"/>
      <c r="M258" s="808"/>
      <c r="N258" s="808"/>
      <c r="O258" s="808"/>
      <c r="P258" s="808"/>
    </row>
    <row r="259" spans="1:16" s="354" customFormat="1" ht="20.25" customHeight="1">
      <c r="A259" s="352"/>
      <c r="B259" s="352"/>
      <c r="C259" s="352"/>
      <c r="D259" s="352"/>
      <c r="E259" s="353"/>
      <c r="F259" s="353"/>
      <c r="G259" s="353"/>
      <c r="H259" s="353"/>
      <c r="I259" s="353"/>
      <c r="K259" s="555"/>
      <c r="L259" s="808"/>
      <c r="M259" s="808"/>
      <c r="N259" s="808"/>
      <c r="O259" s="808"/>
      <c r="P259" s="808"/>
    </row>
    <row r="260" spans="1:16" s="354" customFormat="1" ht="20.25" customHeight="1">
      <c r="A260" s="352"/>
      <c r="B260" s="352"/>
      <c r="C260" s="352"/>
      <c r="D260" s="352"/>
      <c r="E260" s="353"/>
      <c r="F260" s="353"/>
      <c r="G260" s="353"/>
      <c r="H260" s="353"/>
      <c r="I260" s="353"/>
      <c r="K260" s="555"/>
      <c r="L260" s="808"/>
      <c r="M260" s="808"/>
      <c r="N260" s="808"/>
      <c r="O260" s="808"/>
      <c r="P260" s="808"/>
    </row>
    <row r="261" spans="1:16" s="354" customFormat="1" ht="20.25" customHeight="1">
      <c r="A261" s="352"/>
      <c r="B261" s="352"/>
      <c r="C261" s="352"/>
      <c r="D261" s="352"/>
      <c r="E261" s="353"/>
      <c r="F261" s="353"/>
      <c r="G261" s="353"/>
      <c r="H261" s="353"/>
      <c r="I261" s="353"/>
      <c r="K261" s="555"/>
      <c r="L261" s="808"/>
      <c r="M261" s="808"/>
      <c r="N261" s="808"/>
      <c r="O261" s="808"/>
      <c r="P261" s="808"/>
    </row>
    <row r="262" spans="1:16" s="354" customFormat="1" ht="20.25" customHeight="1">
      <c r="A262" s="352"/>
      <c r="B262" s="352"/>
      <c r="C262" s="352"/>
      <c r="D262" s="352"/>
      <c r="E262" s="353"/>
      <c r="F262" s="353"/>
      <c r="G262" s="353"/>
      <c r="H262" s="353"/>
      <c r="I262" s="353"/>
      <c r="K262" s="555"/>
      <c r="L262" s="808"/>
      <c r="M262" s="808"/>
      <c r="N262" s="808"/>
      <c r="O262" s="808"/>
      <c r="P262" s="808"/>
    </row>
    <row r="263" spans="1:16" s="354" customFormat="1" ht="20.25" customHeight="1">
      <c r="A263" s="352"/>
      <c r="B263" s="352"/>
      <c r="C263" s="352"/>
      <c r="D263" s="352"/>
      <c r="E263" s="353"/>
      <c r="F263" s="353"/>
      <c r="G263" s="353"/>
      <c r="H263" s="353"/>
      <c r="I263" s="353"/>
      <c r="K263" s="555"/>
      <c r="L263" s="808"/>
      <c r="M263" s="808"/>
      <c r="N263" s="808"/>
      <c r="O263" s="808"/>
      <c r="P263" s="808"/>
    </row>
    <row r="264" spans="1:16" s="354" customFormat="1" ht="20.25" customHeight="1">
      <c r="A264" s="352"/>
      <c r="B264" s="352"/>
      <c r="C264" s="352"/>
      <c r="D264" s="352"/>
      <c r="E264" s="353"/>
      <c r="F264" s="353"/>
      <c r="G264" s="353"/>
      <c r="H264" s="353"/>
      <c r="I264" s="353"/>
      <c r="K264" s="555"/>
      <c r="L264" s="808"/>
      <c r="M264" s="808"/>
      <c r="N264" s="808"/>
      <c r="O264" s="808"/>
      <c r="P264" s="808"/>
    </row>
    <row r="265" spans="1:16" s="354" customFormat="1" ht="20.25" customHeight="1">
      <c r="A265" s="352"/>
      <c r="B265" s="352"/>
      <c r="C265" s="352"/>
      <c r="D265" s="352"/>
      <c r="E265" s="353"/>
      <c r="F265" s="353"/>
      <c r="G265" s="353"/>
      <c r="H265" s="353"/>
      <c r="I265" s="353"/>
      <c r="K265" s="555"/>
      <c r="L265" s="808"/>
      <c r="M265" s="808"/>
      <c r="N265" s="808"/>
      <c r="O265" s="808"/>
      <c r="P265" s="808"/>
    </row>
    <row r="266" spans="1:16" s="354" customFormat="1" ht="20.25" customHeight="1">
      <c r="A266" s="601"/>
      <c r="B266" s="601"/>
      <c r="C266" s="601"/>
      <c r="D266" s="601"/>
      <c r="E266" s="353"/>
      <c r="F266" s="353"/>
      <c r="G266" s="353"/>
      <c r="H266" s="353"/>
      <c r="I266" s="353"/>
      <c r="K266" s="555"/>
      <c r="L266" s="808"/>
      <c r="M266" s="808"/>
      <c r="N266" s="808"/>
      <c r="O266" s="808"/>
      <c r="P266" s="808"/>
    </row>
    <row r="267" spans="1:16" s="354" customFormat="1" ht="20.25" customHeight="1">
      <c r="A267" s="601"/>
      <c r="B267" s="601"/>
      <c r="C267" s="601"/>
      <c r="D267" s="601"/>
      <c r="E267" s="353"/>
      <c r="F267" s="353"/>
      <c r="G267" s="353"/>
      <c r="H267" s="353"/>
      <c r="I267" s="353"/>
      <c r="K267" s="555"/>
      <c r="L267" s="808"/>
      <c r="M267" s="808"/>
      <c r="N267" s="808"/>
      <c r="O267" s="808"/>
      <c r="P267" s="808"/>
    </row>
    <row r="268" spans="1:16" s="354" customFormat="1" ht="20.25" customHeight="1">
      <c r="A268" s="601"/>
      <c r="B268" s="601"/>
      <c r="C268" s="601"/>
      <c r="D268" s="601"/>
      <c r="E268" s="353"/>
      <c r="F268" s="353"/>
      <c r="G268" s="353"/>
      <c r="H268" s="353"/>
      <c r="I268" s="353"/>
      <c r="K268" s="555"/>
      <c r="L268" s="808"/>
      <c r="M268" s="808"/>
      <c r="N268" s="808"/>
      <c r="O268" s="808"/>
      <c r="P268" s="808"/>
    </row>
    <row r="269" spans="1:16" s="354" customFormat="1" ht="20.25" customHeight="1">
      <c r="A269" s="601"/>
      <c r="B269" s="601"/>
      <c r="C269" s="601"/>
      <c r="D269" s="601"/>
      <c r="E269" s="353"/>
      <c r="F269" s="353"/>
      <c r="G269" s="353"/>
      <c r="H269" s="353"/>
      <c r="I269" s="353"/>
      <c r="K269" s="555"/>
      <c r="L269" s="808"/>
      <c r="M269" s="808"/>
      <c r="N269" s="808"/>
      <c r="O269" s="808"/>
      <c r="P269" s="808"/>
    </row>
    <row r="270" spans="1:16" s="354" customFormat="1" ht="20.25" customHeight="1">
      <c r="A270" s="601"/>
      <c r="B270" s="601"/>
      <c r="C270" s="601"/>
      <c r="D270" s="601"/>
      <c r="E270" s="353"/>
      <c r="F270" s="353"/>
      <c r="G270" s="353"/>
      <c r="H270" s="353"/>
      <c r="I270" s="353"/>
      <c r="K270" s="555"/>
      <c r="L270" s="808"/>
      <c r="M270" s="808"/>
      <c r="N270" s="808"/>
      <c r="O270" s="808"/>
      <c r="P270" s="808"/>
    </row>
    <row r="271" spans="1:16" s="354" customFormat="1" ht="20.25" customHeight="1">
      <c r="A271" s="601"/>
      <c r="B271" s="601"/>
      <c r="C271" s="601"/>
      <c r="D271" s="601"/>
      <c r="E271" s="353"/>
      <c r="F271" s="353"/>
      <c r="G271" s="353"/>
      <c r="H271" s="353"/>
      <c r="I271" s="353"/>
      <c r="K271" s="555"/>
      <c r="L271" s="808"/>
      <c r="M271" s="808"/>
      <c r="N271" s="808"/>
      <c r="O271" s="808"/>
      <c r="P271" s="808"/>
    </row>
    <row r="272" spans="1:16" s="354" customFormat="1" ht="20.25" customHeight="1">
      <c r="A272" s="601"/>
      <c r="B272" s="601"/>
      <c r="C272" s="601"/>
      <c r="D272" s="601"/>
      <c r="E272" s="353"/>
      <c r="F272" s="353"/>
      <c r="G272" s="353"/>
      <c r="H272" s="353"/>
      <c r="I272" s="353"/>
      <c r="K272" s="555"/>
      <c r="L272" s="808"/>
      <c r="M272" s="808"/>
      <c r="N272" s="808"/>
      <c r="O272" s="808"/>
      <c r="P272" s="808"/>
    </row>
    <row r="273" spans="1:16" s="354" customFormat="1" ht="20.25" customHeight="1">
      <c r="A273" s="601"/>
      <c r="B273" s="601"/>
      <c r="C273" s="601"/>
      <c r="D273" s="601"/>
      <c r="E273" s="353"/>
      <c r="F273" s="353"/>
      <c r="G273" s="353"/>
      <c r="H273" s="353"/>
      <c r="I273" s="353"/>
      <c r="K273" s="555"/>
      <c r="L273" s="808"/>
      <c r="M273" s="808"/>
      <c r="N273" s="808"/>
      <c r="O273" s="808"/>
      <c r="P273" s="808"/>
    </row>
    <row r="274" spans="1:16" s="354" customFormat="1" ht="20.25" customHeight="1">
      <c r="A274" s="601"/>
      <c r="B274" s="601"/>
      <c r="C274" s="601"/>
      <c r="D274" s="601"/>
      <c r="E274" s="353"/>
      <c r="F274" s="353"/>
      <c r="G274" s="353"/>
      <c r="H274" s="353"/>
      <c r="I274" s="353"/>
      <c r="K274" s="555"/>
      <c r="L274" s="808"/>
      <c r="M274" s="808"/>
      <c r="N274" s="808"/>
      <c r="O274" s="808"/>
      <c r="P274" s="808"/>
    </row>
    <row r="275" spans="1:16" s="354" customFormat="1" ht="20.25" customHeight="1">
      <c r="A275" s="601"/>
      <c r="B275" s="601"/>
      <c r="C275" s="601"/>
      <c r="D275" s="601"/>
      <c r="E275" s="353"/>
      <c r="F275" s="353"/>
      <c r="G275" s="353"/>
      <c r="H275" s="353"/>
      <c r="I275" s="353"/>
      <c r="K275" s="555"/>
      <c r="L275" s="808"/>
      <c r="M275" s="808"/>
      <c r="N275" s="808"/>
      <c r="O275" s="808"/>
      <c r="P275" s="808"/>
    </row>
    <row r="276" spans="1:16" s="354" customFormat="1" ht="20.25" customHeight="1">
      <c r="A276" s="601"/>
      <c r="B276" s="601"/>
      <c r="C276" s="601"/>
      <c r="D276" s="601"/>
      <c r="E276" s="353"/>
      <c r="F276" s="353"/>
      <c r="G276" s="353"/>
      <c r="H276" s="353"/>
      <c r="I276" s="353"/>
      <c r="K276" s="555"/>
      <c r="L276" s="808"/>
      <c r="M276" s="808"/>
      <c r="N276" s="808"/>
      <c r="O276" s="808"/>
      <c r="P276" s="808"/>
    </row>
    <row r="277" spans="1:16" s="354" customFormat="1" ht="20.25" customHeight="1">
      <c r="A277" s="601"/>
      <c r="B277" s="601"/>
      <c r="C277" s="601"/>
      <c r="D277" s="601"/>
      <c r="E277" s="353"/>
      <c r="F277" s="353"/>
      <c r="G277" s="353"/>
      <c r="H277" s="353"/>
      <c r="I277" s="353"/>
      <c r="K277" s="555"/>
      <c r="L277" s="808"/>
      <c r="M277" s="808"/>
      <c r="N277" s="808"/>
      <c r="O277" s="808"/>
      <c r="P277" s="808"/>
    </row>
    <row r="278" spans="1:16" s="354" customFormat="1" ht="20.25" customHeight="1">
      <c r="A278" s="601"/>
      <c r="B278" s="601"/>
      <c r="C278" s="601"/>
      <c r="D278" s="601"/>
      <c r="E278" s="353"/>
      <c r="F278" s="353"/>
      <c r="G278" s="353"/>
      <c r="H278" s="353"/>
      <c r="I278" s="353"/>
      <c r="K278" s="555"/>
      <c r="L278" s="808"/>
      <c r="M278" s="808"/>
      <c r="N278" s="808"/>
      <c r="O278" s="808"/>
      <c r="P278" s="808"/>
    </row>
    <row r="279" spans="1:16" s="354" customFormat="1" ht="20.25" customHeight="1">
      <c r="A279" s="601"/>
      <c r="B279" s="601"/>
      <c r="C279" s="601"/>
      <c r="D279" s="601"/>
      <c r="E279" s="353"/>
      <c r="F279" s="353"/>
      <c r="G279" s="353"/>
      <c r="H279" s="353"/>
      <c r="I279" s="353"/>
      <c r="K279" s="555"/>
      <c r="L279" s="808"/>
      <c r="M279" s="808"/>
      <c r="N279" s="808"/>
      <c r="O279" s="808"/>
      <c r="P279" s="808"/>
    </row>
    <row r="280" spans="1:16" s="354" customFormat="1" ht="20.25" customHeight="1">
      <c r="A280" s="601"/>
      <c r="B280" s="601"/>
      <c r="C280" s="601"/>
      <c r="D280" s="601"/>
      <c r="E280" s="353"/>
      <c r="F280" s="353"/>
      <c r="G280" s="353"/>
      <c r="H280" s="353"/>
      <c r="I280" s="353"/>
      <c r="K280" s="555"/>
      <c r="L280" s="808"/>
      <c r="M280" s="808"/>
      <c r="N280" s="808"/>
      <c r="O280" s="808"/>
      <c r="P280" s="808"/>
    </row>
    <row r="281" spans="1:16" s="354" customFormat="1" ht="20.25" customHeight="1">
      <c r="A281" s="601"/>
      <c r="B281" s="601"/>
      <c r="C281" s="601"/>
      <c r="D281" s="601"/>
      <c r="E281" s="353"/>
      <c r="F281" s="353"/>
      <c r="G281" s="353"/>
      <c r="H281" s="353"/>
      <c r="I281" s="353"/>
      <c r="K281" s="555"/>
      <c r="L281" s="808"/>
      <c r="M281" s="808"/>
      <c r="N281" s="808"/>
      <c r="O281" s="808"/>
      <c r="P281" s="808"/>
    </row>
    <row r="282" spans="1:16" s="354" customFormat="1" ht="20.25" customHeight="1">
      <c r="A282" s="601"/>
      <c r="B282" s="601"/>
      <c r="C282" s="601"/>
      <c r="D282" s="601"/>
      <c r="E282" s="353"/>
      <c r="F282" s="353"/>
      <c r="G282" s="353"/>
      <c r="H282" s="353"/>
      <c r="I282" s="353"/>
      <c r="K282" s="555"/>
      <c r="L282" s="808"/>
      <c r="M282" s="808"/>
      <c r="N282" s="808"/>
      <c r="O282" s="808"/>
      <c r="P282" s="808"/>
    </row>
    <row r="283" spans="1:16" s="354" customFormat="1" ht="20.25" customHeight="1">
      <c r="A283" s="601"/>
      <c r="B283" s="601"/>
      <c r="C283" s="601"/>
      <c r="D283" s="601"/>
      <c r="E283" s="353"/>
      <c r="F283" s="353"/>
      <c r="G283" s="353"/>
      <c r="H283" s="353"/>
      <c r="I283" s="353"/>
      <c r="K283" s="555"/>
      <c r="L283" s="808"/>
      <c r="M283" s="808"/>
      <c r="N283" s="808"/>
      <c r="O283" s="808"/>
      <c r="P283" s="808"/>
    </row>
    <row r="284" spans="1:16" s="354" customFormat="1" ht="20.25" customHeight="1">
      <c r="A284" s="601"/>
      <c r="B284" s="601"/>
      <c r="C284" s="601"/>
      <c r="D284" s="601"/>
      <c r="E284" s="353"/>
      <c r="F284" s="353"/>
      <c r="G284" s="353"/>
      <c r="H284" s="353"/>
      <c r="I284" s="353"/>
      <c r="K284" s="555"/>
      <c r="L284" s="808"/>
      <c r="M284" s="808"/>
      <c r="N284" s="808"/>
      <c r="O284" s="808"/>
      <c r="P284" s="808"/>
    </row>
    <row r="285" spans="1:16" s="354" customFormat="1" ht="20.25" customHeight="1">
      <c r="A285" s="601"/>
      <c r="B285" s="601"/>
      <c r="C285" s="601"/>
      <c r="D285" s="601"/>
      <c r="E285" s="353"/>
      <c r="F285" s="353"/>
      <c r="G285" s="353"/>
      <c r="H285" s="353"/>
      <c r="I285" s="353"/>
      <c r="K285" s="555"/>
      <c r="L285" s="808"/>
      <c r="M285" s="808"/>
      <c r="N285" s="808"/>
      <c r="O285" s="808"/>
      <c r="P285" s="808"/>
    </row>
    <row r="286" spans="1:16" s="354" customFormat="1" ht="20.25" customHeight="1">
      <c r="A286" s="601"/>
      <c r="B286" s="601"/>
      <c r="C286" s="601"/>
      <c r="D286" s="601"/>
      <c r="E286" s="353"/>
      <c r="F286" s="353"/>
      <c r="G286" s="353"/>
      <c r="H286" s="353"/>
      <c r="I286" s="353"/>
      <c r="K286" s="555"/>
      <c r="L286" s="808"/>
      <c r="M286" s="808"/>
      <c r="N286" s="808"/>
      <c r="O286" s="808"/>
      <c r="P286" s="808"/>
    </row>
    <row r="287" spans="1:16" s="354" customFormat="1" ht="20.25" customHeight="1">
      <c r="A287" s="601"/>
      <c r="B287" s="601"/>
      <c r="C287" s="601"/>
      <c r="D287" s="601"/>
      <c r="E287" s="353"/>
      <c r="F287" s="353"/>
      <c r="G287" s="353"/>
      <c r="H287" s="353"/>
      <c r="I287" s="353"/>
      <c r="K287" s="555"/>
      <c r="L287" s="808"/>
      <c r="M287" s="808"/>
      <c r="N287" s="808"/>
      <c r="O287" s="808"/>
      <c r="P287" s="808"/>
    </row>
    <row r="288" spans="1:16" s="354" customFormat="1" ht="20.25" customHeight="1">
      <c r="A288" s="601"/>
      <c r="B288" s="601"/>
      <c r="C288" s="601"/>
      <c r="D288" s="601"/>
      <c r="E288" s="353"/>
      <c r="F288" s="353"/>
      <c r="G288" s="353"/>
      <c r="H288" s="353"/>
      <c r="I288" s="353"/>
      <c r="K288" s="555"/>
      <c r="L288" s="808"/>
      <c r="M288" s="808"/>
      <c r="N288" s="808"/>
      <c r="O288" s="808"/>
      <c r="P288" s="808"/>
    </row>
    <row r="289" spans="1:16" s="354" customFormat="1" ht="20.25" customHeight="1">
      <c r="A289" s="601"/>
      <c r="B289" s="601"/>
      <c r="C289" s="601"/>
      <c r="D289" s="601"/>
      <c r="E289" s="353"/>
      <c r="F289" s="353"/>
      <c r="G289" s="353"/>
      <c r="H289" s="353"/>
      <c r="I289" s="353"/>
      <c r="K289" s="555"/>
      <c r="L289" s="808"/>
      <c r="M289" s="808"/>
      <c r="N289" s="808"/>
      <c r="O289" s="808"/>
      <c r="P289" s="808"/>
    </row>
    <row r="290" spans="1:16" s="354" customFormat="1" ht="20.25" customHeight="1">
      <c r="A290" s="601"/>
      <c r="B290" s="601"/>
      <c r="C290" s="601"/>
      <c r="D290" s="601"/>
      <c r="E290" s="353"/>
      <c r="F290" s="353"/>
      <c r="G290" s="353"/>
      <c r="H290" s="353"/>
      <c r="I290" s="353"/>
      <c r="K290" s="555"/>
      <c r="L290" s="808"/>
      <c r="M290" s="808"/>
      <c r="N290" s="808"/>
      <c r="O290" s="808"/>
      <c r="P290" s="808"/>
    </row>
    <row r="291" spans="1:16" s="354" customFormat="1" ht="20.25" customHeight="1">
      <c r="A291" s="601"/>
      <c r="B291" s="601"/>
      <c r="C291" s="601"/>
      <c r="D291" s="601"/>
      <c r="E291" s="353"/>
      <c r="F291" s="353"/>
      <c r="G291" s="353"/>
      <c r="H291" s="353"/>
      <c r="I291" s="353"/>
      <c r="K291" s="555"/>
      <c r="L291" s="808"/>
      <c r="M291" s="808"/>
      <c r="N291" s="808"/>
      <c r="O291" s="808"/>
      <c r="P291" s="808"/>
    </row>
    <row r="292" spans="1:16" s="354" customFormat="1" ht="20.25" customHeight="1">
      <c r="A292" s="601"/>
      <c r="B292" s="601"/>
      <c r="C292" s="601"/>
      <c r="D292" s="601"/>
      <c r="E292" s="353"/>
      <c r="F292" s="353"/>
      <c r="G292" s="353"/>
      <c r="H292" s="353"/>
      <c r="I292" s="353"/>
      <c r="K292" s="555"/>
      <c r="L292" s="808"/>
      <c r="M292" s="808"/>
      <c r="N292" s="808"/>
      <c r="O292" s="808"/>
      <c r="P292" s="808"/>
    </row>
    <row r="293" spans="1:16" s="354" customFormat="1" ht="20.25" customHeight="1">
      <c r="A293" s="601"/>
      <c r="B293" s="601"/>
      <c r="C293" s="601"/>
      <c r="D293" s="601"/>
      <c r="E293" s="353"/>
      <c r="F293" s="353"/>
      <c r="G293" s="353"/>
      <c r="H293" s="353"/>
      <c r="I293" s="353"/>
      <c r="K293" s="555"/>
      <c r="L293" s="808"/>
      <c r="M293" s="808"/>
      <c r="N293" s="808"/>
      <c r="O293" s="808"/>
      <c r="P293" s="808"/>
    </row>
    <row r="294" spans="1:16" s="354" customFormat="1" ht="20.25" customHeight="1">
      <c r="A294" s="601"/>
      <c r="B294" s="601"/>
      <c r="C294" s="601"/>
      <c r="D294" s="601"/>
      <c r="E294" s="353"/>
      <c r="F294" s="353"/>
      <c r="G294" s="353"/>
      <c r="H294" s="353"/>
      <c r="I294" s="353"/>
      <c r="K294" s="555"/>
      <c r="L294" s="808"/>
      <c r="M294" s="808"/>
      <c r="N294" s="808"/>
      <c r="O294" s="808"/>
      <c r="P294" s="808"/>
    </row>
    <row r="295" spans="1:16" s="354" customFormat="1" ht="20.25" customHeight="1">
      <c r="A295" s="601"/>
      <c r="B295" s="601"/>
      <c r="C295" s="601"/>
      <c r="D295" s="601"/>
      <c r="E295" s="353"/>
      <c r="F295" s="353"/>
      <c r="G295" s="353"/>
      <c r="H295" s="353"/>
      <c r="I295" s="353"/>
      <c r="K295" s="555"/>
      <c r="L295" s="808"/>
      <c r="M295" s="808"/>
      <c r="N295" s="808"/>
      <c r="O295" s="808"/>
      <c r="P295" s="808"/>
    </row>
    <row r="296" spans="1:16" s="354" customFormat="1" ht="20.25" customHeight="1">
      <c r="A296" s="601"/>
      <c r="B296" s="601"/>
      <c r="C296" s="601"/>
      <c r="D296" s="601"/>
      <c r="E296" s="353"/>
      <c r="F296" s="353"/>
      <c r="G296" s="353"/>
      <c r="H296" s="353"/>
      <c r="I296" s="353"/>
      <c r="K296" s="555"/>
      <c r="L296" s="808"/>
      <c r="M296" s="808"/>
      <c r="N296" s="808"/>
      <c r="O296" s="808"/>
      <c r="P296" s="808"/>
    </row>
    <row r="297" spans="1:16" s="354" customFormat="1" ht="20.25" customHeight="1">
      <c r="A297" s="601"/>
      <c r="B297" s="601"/>
      <c r="C297" s="601"/>
      <c r="D297" s="601"/>
      <c r="E297" s="353"/>
      <c r="F297" s="353"/>
      <c r="G297" s="353"/>
      <c r="H297" s="353"/>
      <c r="I297" s="353"/>
      <c r="K297" s="555"/>
      <c r="L297" s="808"/>
      <c r="M297" s="808"/>
      <c r="N297" s="808"/>
      <c r="O297" s="808"/>
      <c r="P297" s="808"/>
    </row>
    <row r="298" spans="1:16" s="354" customFormat="1" ht="20.25" customHeight="1">
      <c r="A298" s="601"/>
      <c r="B298" s="601"/>
      <c r="C298" s="601"/>
      <c r="D298" s="601"/>
      <c r="E298" s="353"/>
      <c r="F298" s="353"/>
      <c r="G298" s="353"/>
      <c r="H298" s="353"/>
      <c r="I298" s="353"/>
      <c r="K298" s="555"/>
      <c r="L298" s="808"/>
      <c r="M298" s="808"/>
      <c r="N298" s="808"/>
      <c r="O298" s="808"/>
      <c r="P298" s="808"/>
    </row>
    <row r="299" spans="1:16" s="354" customFormat="1" ht="20.25" customHeight="1">
      <c r="A299" s="601"/>
      <c r="B299" s="601"/>
      <c r="C299" s="601"/>
      <c r="D299" s="601"/>
      <c r="E299" s="353"/>
      <c r="F299" s="353"/>
      <c r="G299" s="353"/>
      <c r="H299" s="353"/>
      <c r="I299" s="353"/>
      <c r="K299" s="555"/>
      <c r="L299" s="808"/>
      <c r="M299" s="808"/>
      <c r="N299" s="808"/>
      <c r="O299" s="808"/>
      <c r="P299" s="808"/>
    </row>
    <row r="300" spans="1:16" s="354" customFormat="1" ht="20.25" customHeight="1">
      <c r="A300" s="601"/>
      <c r="B300" s="601"/>
      <c r="C300" s="601"/>
      <c r="D300" s="601"/>
      <c r="E300" s="353"/>
      <c r="F300" s="353"/>
      <c r="G300" s="353"/>
      <c r="H300" s="353"/>
      <c r="I300" s="353"/>
      <c r="K300" s="555"/>
      <c r="L300" s="808"/>
      <c r="M300" s="808"/>
      <c r="N300" s="808"/>
      <c r="O300" s="808"/>
      <c r="P300" s="808"/>
    </row>
    <row r="301" spans="1:16" s="354" customFormat="1" ht="20.25" customHeight="1">
      <c r="A301" s="601"/>
      <c r="B301" s="601"/>
      <c r="C301" s="601"/>
      <c r="D301" s="601"/>
      <c r="E301" s="353"/>
      <c r="F301" s="353"/>
      <c r="G301" s="353"/>
      <c r="H301" s="353"/>
      <c r="I301" s="353"/>
      <c r="K301" s="555"/>
      <c r="L301" s="808"/>
      <c r="M301" s="808"/>
      <c r="N301" s="808"/>
      <c r="O301" s="808"/>
      <c r="P301" s="808"/>
    </row>
    <row r="302" spans="1:16" s="354" customFormat="1" ht="20.25" customHeight="1">
      <c r="A302" s="601"/>
      <c r="B302" s="601"/>
      <c r="C302" s="601"/>
      <c r="D302" s="601"/>
      <c r="E302" s="353"/>
      <c r="F302" s="353"/>
      <c r="G302" s="353"/>
      <c r="H302" s="353"/>
      <c r="I302" s="353"/>
      <c r="K302" s="555"/>
      <c r="L302" s="808"/>
      <c r="M302" s="808"/>
      <c r="N302" s="808"/>
      <c r="O302" s="808"/>
      <c r="P302" s="808"/>
    </row>
    <row r="303" spans="1:16" s="354" customFormat="1" ht="20.25" customHeight="1">
      <c r="A303" s="601"/>
      <c r="B303" s="601"/>
      <c r="C303" s="601"/>
      <c r="D303" s="601"/>
      <c r="E303" s="353"/>
      <c r="F303" s="353"/>
      <c r="G303" s="353"/>
      <c r="H303" s="353"/>
      <c r="I303" s="353"/>
      <c r="K303" s="555"/>
      <c r="L303" s="808"/>
      <c r="M303" s="808"/>
      <c r="N303" s="808"/>
      <c r="O303" s="808"/>
      <c r="P303" s="808"/>
    </row>
    <row r="304" spans="1:16" s="354" customFormat="1" ht="20.25" customHeight="1">
      <c r="A304" s="601"/>
      <c r="B304" s="601"/>
      <c r="C304" s="601"/>
      <c r="D304" s="601"/>
      <c r="E304" s="353"/>
      <c r="F304" s="353"/>
      <c r="G304" s="353"/>
      <c r="H304" s="353"/>
      <c r="I304" s="353"/>
      <c r="K304" s="555"/>
      <c r="L304" s="808"/>
      <c r="M304" s="808"/>
      <c r="N304" s="808"/>
      <c r="O304" s="808"/>
      <c r="P304" s="808"/>
    </row>
    <row r="305" spans="1:16" s="354" customFormat="1" ht="20.25" customHeight="1">
      <c r="A305" s="601"/>
      <c r="B305" s="601"/>
      <c r="C305" s="601"/>
      <c r="D305" s="601"/>
      <c r="E305" s="353"/>
      <c r="F305" s="353"/>
      <c r="G305" s="353"/>
      <c r="H305" s="353"/>
      <c r="I305" s="353"/>
      <c r="K305" s="555"/>
      <c r="L305" s="808"/>
      <c r="M305" s="808"/>
      <c r="N305" s="808"/>
      <c r="O305" s="808"/>
      <c r="P305" s="808"/>
    </row>
    <row r="306" spans="1:16" s="354" customFormat="1" ht="20.25" customHeight="1">
      <c r="A306" s="601"/>
      <c r="B306" s="601"/>
      <c r="C306" s="601"/>
      <c r="D306" s="601"/>
      <c r="E306" s="353"/>
      <c r="F306" s="353"/>
      <c r="G306" s="353"/>
      <c r="H306" s="353"/>
      <c r="I306" s="353"/>
      <c r="K306" s="555"/>
      <c r="L306" s="808"/>
      <c r="M306" s="808"/>
      <c r="N306" s="808"/>
      <c r="O306" s="808"/>
      <c r="P306" s="808"/>
    </row>
    <row r="307" spans="1:16" s="354" customFormat="1" ht="20.25" customHeight="1">
      <c r="A307" s="601"/>
      <c r="B307" s="601"/>
      <c r="C307" s="601"/>
      <c r="D307" s="601"/>
      <c r="E307" s="353"/>
      <c r="F307" s="353"/>
      <c r="G307" s="353"/>
      <c r="H307" s="353"/>
      <c r="I307" s="353"/>
      <c r="K307" s="555"/>
      <c r="L307" s="808"/>
      <c r="M307" s="808"/>
      <c r="N307" s="808"/>
      <c r="O307" s="808"/>
      <c r="P307" s="808"/>
    </row>
    <row r="308" spans="1:16" s="354" customFormat="1" ht="20.25" customHeight="1">
      <c r="A308" s="601"/>
      <c r="B308" s="601"/>
      <c r="C308" s="601"/>
      <c r="D308" s="601"/>
      <c r="E308" s="353"/>
      <c r="F308" s="353"/>
      <c r="G308" s="353"/>
      <c r="H308" s="353"/>
      <c r="I308" s="353"/>
      <c r="K308" s="555"/>
      <c r="L308" s="808"/>
      <c r="M308" s="808"/>
      <c r="N308" s="808"/>
      <c r="O308" s="808"/>
      <c r="P308" s="808"/>
    </row>
    <row r="309" spans="1:16" s="354" customFormat="1" ht="20.25" customHeight="1">
      <c r="A309" s="601"/>
      <c r="B309" s="601"/>
      <c r="C309" s="601"/>
      <c r="D309" s="601"/>
      <c r="E309" s="353"/>
      <c r="F309" s="353"/>
      <c r="G309" s="353"/>
      <c r="H309" s="353"/>
      <c r="I309" s="353"/>
      <c r="K309" s="555"/>
      <c r="L309" s="808"/>
      <c r="M309" s="808"/>
      <c r="N309" s="808"/>
      <c r="O309" s="808"/>
      <c r="P309" s="808"/>
    </row>
    <row r="310" spans="1:16" s="354" customFormat="1" ht="20.25" customHeight="1">
      <c r="A310" s="601"/>
      <c r="B310" s="601"/>
      <c r="C310" s="601"/>
      <c r="D310" s="601"/>
      <c r="E310" s="353"/>
      <c r="F310" s="353"/>
      <c r="G310" s="353"/>
      <c r="H310" s="353"/>
      <c r="I310" s="353"/>
      <c r="K310" s="555"/>
      <c r="L310" s="808"/>
      <c r="M310" s="808"/>
      <c r="N310" s="808"/>
      <c r="O310" s="808"/>
      <c r="P310" s="808"/>
    </row>
    <row r="311" spans="1:16" s="354" customFormat="1" ht="20.25" customHeight="1">
      <c r="A311" s="601"/>
      <c r="B311" s="601"/>
      <c r="C311" s="601"/>
      <c r="D311" s="601"/>
      <c r="E311" s="353"/>
      <c r="F311" s="353"/>
      <c r="G311" s="353"/>
      <c r="H311" s="353"/>
      <c r="I311" s="353"/>
      <c r="K311" s="555"/>
      <c r="L311" s="808"/>
      <c r="M311" s="808"/>
      <c r="N311" s="808"/>
      <c r="O311" s="808"/>
      <c r="P311" s="808"/>
    </row>
    <row r="312" spans="1:16" s="354" customFormat="1" ht="20.25" customHeight="1">
      <c r="A312" s="601"/>
      <c r="B312" s="601"/>
      <c r="C312" s="601"/>
      <c r="D312" s="601"/>
      <c r="E312" s="353"/>
      <c r="F312" s="353"/>
      <c r="G312" s="353"/>
      <c r="H312" s="353"/>
      <c r="I312" s="353"/>
      <c r="K312" s="555"/>
      <c r="L312" s="808"/>
      <c r="M312" s="808"/>
      <c r="N312" s="808"/>
      <c r="O312" s="808"/>
      <c r="P312" s="808"/>
    </row>
    <row r="313" spans="1:16" s="354" customFormat="1" ht="20.25" customHeight="1">
      <c r="A313" s="601"/>
      <c r="B313" s="601"/>
      <c r="C313" s="601"/>
      <c r="D313" s="601"/>
      <c r="E313" s="353"/>
      <c r="F313" s="353"/>
      <c r="G313" s="353"/>
      <c r="H313" s="353"/>
      <c r="I313" s="353"/>
      <c r="K313" s="555"/>
      <c r="L313" s="808"/>
      <c r="M313" s="808"/>
      <c r="N313" s="808"/>
      <c r="O313" s="808"/>
      <c r="P313" s="808"/>
    </row>
    <row r="314" spans="1:16" s="354" customFormat="1" ht="20.25" customHeight="1">
      <c r="A314" s="601"/>
      <c r="B314" s="601"/>
      <c r="C314" s="601"/>
      <c r="D314" s="601"/>
      <c r="E314" s="353"/>
      <c r="F314" s="353"/>
      <c r="G314" s="353"/>
      <c r="H314" s="353"/>
      <c r="I314" s="353"/>
      <c r="K314" s="555"/>
      <c r="L314" s="808"/>
      <c r="M314" s="808"/>
      <c r="N314" s="808"/>
      <c r="O314" s="808"/>
      <c r="P314" s="808"/>
    </row>
    <row r="315" spans="1:16" s="354" customFormat="1" ht="20.25" customHeight="1">
      <c r="A315" s="601"/>
      <c r="B315" s="601"/>
      <c r="C315" s="601"/>
      <c r="D315" s="601"/>
      <c r="E315" s="353"/>
      <c r="F315" s="353"/>
      <c r="G315" s="353"/>
      <c r="H315" s="353"/>
      <c r="I315" s="353"/>
      <c r="K315" s="555"/>
      <c r="L315" s="808"/>
      <c r="M315" s="808"/>
      <c r="N315" s="808"/>
      <c r="O315" s="808"/>
      <c r="P315" s="808"/>
    </row>
    <row r="316" spans="1:16" s="354" customFormat="1" ht="20.25" customHeight="1">
      <c r="A316" s="601"/>
      <c r="B316" s="601"/>
      <c r="C316" s="601"/>
      <c r="D316" s="601"/>
      <c r="E316" s="353"/>
      <c r="F316" s="353"/>
      <c r="G316" s="353"/>
      <c r="H316" s="353"/>
      <c r="I316" s="353"/>
      <c r="K316" s="555"/>
      <c r="L316" s="808"/>
      <c r="M316" s="808"/>
      <c r="N316" s="808"/>
      <c r="O316" s="808"/>
      <c r="P316" s="808"/>
    </row>
    <row r="317" spans="1:16" s="354" customFormat="1" ht="20.25" customHeight="1">
      <c r="A317" s="601"/>
      <c r="B317" s="601"/>
      <c r="C317" s="601"/>
      <c r="D317" s="601"/>
      <c r="E317" s="353"/>
      <c r="F317" s="353"/>
      <c r="G317" s="353"/>
      <c r="H317" s="353"/>
      <c r="I317" s="353"/>
      <c r="K317" s="555"/>
      <c r="L317" s="808"/>
      <c r="M317" s="808"/>
      <c r="N317" s="808"/>
      <c r="O317" s="808"/>
      <c r="P317" s="808"/>
    </row>
    <row r="318" spans="1:16" s="354" customFormat="1" ht="20.25" customHeight="1">
      <c r="A318" s="601"/>
      <c r="B318" s="601"/>
      <c r="C318" s="601"/>
      <c r="D318" s="601"/>
      <c r="E318" s="353"/>
      <c r="F318" s="353"/>
      <c r="G318" s="353"/>
      <c r="H318" s="353"/>
      <c r="I318" s="353"/>
      <c r="K318" s="555"/>
      <c r="L318" s="808"/>
      <c r="M318" s="808"/>
      <c r="N318" s="808"/>
      <c r="O318" s="808"/>
      <c r="P318" s="808"/>
    </row>
    <row r="319" spans="1:16" s="354" customFormat="1" ht="20.25" customHeight="1">
      <c r="A319" s="601"/>
      <c r="B319" s="601"/>
      <c r="C319" s="601"/>
      <c r="D319" s="601"/>
      <c r="E319" s="353"/>
      <c r="F319" s="353"/>
      <c r="G319" s="353"/>
      <c r="H319" s="353"/>
      <c r="I319" s="353"/>
      <c r="K319" s="555"/>
      <c r="L319" s="808"/>
      <c r="M319" s="808"/>
      <c r="N319" s="808"/>
      <c r="O319" s="808"/>
      <c r="P319" s="808"/>
    </row>
    <row r="320" spans="1:16" s="354" customFormat="1" ht="20.25" customHeight="1">
      <c r="A320" s="601"/>
      <c r="B320" s="601"/>
      <c r="C320" s="601"/>
      <c r="D320" s="601"/>
      <c r="E320" s="353"/>
      <c r="F320" s="353"/>
      <c r="G320" s="353"/>
      <c r="H320" s="353"/>
      <c r="I320" s="353"/>
      <c r="K320" s="555"/>
      <c r="L320" s="808"/>
      <c r="M320" s="808"/>
      <c r="N320" s="808"/>
      <c r="O320" s="808"/>
      <c r="P320" s="808"/>
    </row>
    <row r="321" spans="1:16" s="354" customFormat="1" ht="20.25" customHeight="1">
      <c r="A321" s="601"/>
      <c r="B321" s="601"/>
      <c r="C321" s="601"/>
      <c r="D321" s="601"/>
      <c r="E321" s="353"/>
      <c r="F321" s="353"/>
      <c r="G321" s="353"/>
      <c r="H321" s="353"/>
      <c r="I321" s="353"/>
      <c r="K321" s="555"/>
      <c r="L321" s="808"/>
      <c r="M321" s="808"/>
      <c r="N321" s="808"/>
      <c r="O321" s="808"/>
      <c r="P321" s="808"/>
    </row>
    <row r="322" spans="1:16" s="354" customFormat="1" ht="20.25" customHeight="1">
      <c r="A322" s="601"/>
      <c r="B322" s="601"/>
      <c r="C322" s="601"/>
      <c r="D322" s="601"/>
      <c r="E322" s="353"/>
      <c r="F322" s="353"/>
      <c r="G322" s="353"/>
      <c r="H322" s="353"/>
      <c r="I322" s="353"/>
      <c r="K322" s="555"/>
      <c r="L322" s="808"/>
      <c r="M322" s="808"/>
      <c r="N322" s="808"/>
      <c r="O322" s="808"/>
      <c r="P322" s="808"/>
    </row>
    <row r="323" spans="1:16" s="354" customFormat="1" ht="20.25" customHeight="1">
      <c r="A323" s="601"/>
      <c r="B323" s="601"/>
      <c r="C323" s="601"/>
      <c r="D323" s="601"/>
      <c r="E323" s="353"/>
      <c r="F323" s="353"/>
      <c r="G323" s="353"/>
      <c r="H323" s="353"/>
      <c r="I323" s="353"/>
      <c r="K323" s="555"/>
      <c r="L323" s="808"/>
      <c r="M323" s="808"/>
      <c r="N323" s="808"/>
      <c r="O323" s="808"/>
      <c r="P323" s="808"/>
    </row>
    <row r="324" spans="1:16" s="354" customFormat="1" ht="20.25" customHeight="1">
      <c r="A324" s="601"/>
      <c r="B324" s="601"/>
      <c r="C324" s="601"/>
      <c r="D324" s="601"/>
      <c r="E324" s="353"/>
      <c r="F324" s="353"/>
      <c r="G324" s="353"/>
      <c r="H324" s="353"/>
      <c r="I324" s="353"/>
      <c r="K324" s="555"/>
      <c r="L324" s="808"/>
      <c r="M324" s="808"/>
      <c r="N324" s="808"/>
      <c r="O324" s="808"/>
      <c r="P324" s="808"/>
    </row>
    <row r="325" spans="1:16" s="354" customFormat="1" ht="20.25" customHeight="1">
      <c r="A325" s="601"/>
      <c r="B325" s="601"/>
      <c r="C325" s="601"/>
      <c r="D325" s="601"/>
      <c r="E325" s="353"/>
      <c r="F325" s="353"/>
      <c r="G325" s="353"/>
      <c r="H325" s="353"/>
      <c r="I325" s="353"/>
      <c r="K325" s="555"/>
      <c r="L325" s="808"/>
      <c r="M325" s="808"/>
      <c r="N325" s="808"/>
      <c r="O325" s="808"/>
      <c r="P325" s="808"/>
    </row>
    <row r="326" spans="1:16" s="354" customFormat="1" ht="20.25" customHeight="1">
      <c r="A326" s="601"/>
      <c r="B326" s="601"/>
      <c r="C326" s="601"/>
      <c r="D326" s="601"/>
      <c r="E326" s="266"/>
      <c r="F326" s="266"/>
      <c r="G326" s="266"/>
      <c r="H326" s="266"/>
      <c r="I326" s="266"/>
      <c r="K326" s="555"/>
      <c r="L326" s="808"/>
      <c r="M326" s="808"/>
      <c r="N326" s="808"/>
      <c r="O326" s="808"/>
      <c r="P326" s="808"/>
    </row>
    <row r="327" spans="1:16" s="354" customFormat="1" ht="20.25" customHeight="1">
      <c r="A327" s="601"/>
      <c r="B327" s="601"/>
      <c r="C327" s="601"/>
      <c r="D327" s="601"/>
      <c r="E327" s="266"/>
      <c r="F327" s="266"/>
      <c r="G327" s="266"/>
      <c r="H327" s="266"/>
      <c r="I327" s="266"/>
      <c r="K327" s="555"/>
      <c r="L327" s="808"/>
      <c r="M327" s="808"/>
      <c r="N327" s="808"/>
      <c r="O327" s="808"/>
      <c r="P327" s="808"/>
    </row>
    <row r="328" spans="1:16" s="354" customFormat="1" ht="20.25" customHeight="1">
      <c r="A328" s="601"/>
      <c r="B328" s="601"/>
      <c r="C328" s="601"/>
      <c r="D328" s="601"/>
      <c r="E328" s="266"/>
      <c r="F328" s="266"/>
      <c r="G328" s="266"/>
      <c r="H328" s="266"/>
      <c r="I328" s="266"/>
      <c r="K328" s="555"/>
      <c r="L328" s="808"/>
      <c r="M328" s="808"/>
      <c r="N328" s="808"/>
      <c r="O328" s="808"/>
      <c r="P328" s="808"/>
    </row>
    <row r="329" spans="1:16" s="354" customFormat="1" ht="20.25" customHeight="1">
      <c r="A329" s="601"/>
      <c r="B329" s="601"/>
      <c r="C329" s="601"/>
      <c r="D329" s="601"/>
      <c r="E329" s="266"/>
      <c r="F329" s="266"/>
      <c r="G329" s="266"/>
      <c r="H329" s="266"/>
      <c r="I329" s="266"/>
      <c r="K329" s="555"/>
      <c r="L329" s="808"/>
      <c r="M329" s="808"/>
      <c r="N329" s="808"/>
      <c r="O329" s="808"/>
      <c r="P329" s="808"/>
    </row>
    <row r="330" spans="1:16" s="354" customFormat="1" ht="20.25" customHeight="1">
      <c r="A330" s="601"/>
      <c r="B330" s="601"/>
      <c r="C330" s="601"/>
      <c r="D330" s="601"/>
      <c r="E330" s="266"/>
      <c r="F330" s="266"/>
      <c r="G330" s="266"/>
      <c r="H330" s="266"/>
      <c r="I330" s="266"/>
      <c r="K330" s="555"/>
      <c r="L330" s="808"/>
      <c r="M330" s="808"/>
      <c r="N330" s="808"/>
      <c r="O330" s="808"/>
      <c r="P330" s="808"/>
    </row>
    <row r="331" spans="1:16" s="354" customFormat="1" ht="20.25" customHeight="1">
      <c r="A331" s="601"/>
      <c r="B331" s="601"/>
      <c r="C331" s="601"/>
      <c r="D331" s="601"/>
      <c r="E331" s="266"/>
      <c r="F331" s="266"/>
      <c r="G331" s="266"/>
      <c r="H331" s="266"/>
      <c r="I331" s="266"/>
      <c r="K331" s="555"/>
      <c r="L331" s="808"/>
      <c r="M331" s="808"/>
      <c r="N331" s="808"/>
      <c r="O331" s="808"/>
      <c r="P331" s="808"/>
    </row>
    <row r="332" spans="1:16" s="354" customFormat="1" ht="20.25" customHeight="1">
      <c r="A332" s="601"/>
      <c r="B332" s="601"/>
      <c r="C332" s="601"/>
      <c r="D332" s="601"/>
      <c r="E332" s="266"/>
      <c r="F332" s="266"/>
      <c r="G332" s="266"/>
      <c r="H332" s="266"/>
      <c r="I332" s="266"/>
      <c r="K332" s="555"/>
      <c r="L332" s="808"/>
      <c r="M332" s="808"/>
      <c r="N332" s="808"/>
      <c r="O332" s="808"/>
      <c r="P332" s="808"/>
    </row>
    <row r="333" spans="1:16" s="354" customFormat="1" ht="20.25" customHeight="1">
      <c r="A333" s="601"/>
      <c r="B333" s="601"/>
      <c r="C333" s="601"/>
      <c r="D333" s="601"/>
      <c r="E333" s="266"/>
      <c r="F333" s="266"/>
      <c r="G333" s="266"/>
      <c r="H333" s="266"/>
      <c r="I333" s="266"/>
      <c r="K333" s="555"/>
      <c r="L333" s="808"/>
      <c r="M333" s="808"/>
      <c r="N333" s="808"/>
      <c r="O333" s="808"/>
      <c r="P333" s="808"/>
    </row>
    <row r="334" spans="1:16" s="354" customFormat="1" ht="20.25" customHeight="1">
      <c r="A334" s="601"/>
      <c r="B334" s="601"/>
      <c r="C334" s="601"/>
      <c r="D334" s="601"/>
      <c r="E334" s="266"/>
      <c r="F334" s="266"/>
      <c r="G334" s="266"/>
      <c r="H334" s="266"/>
      <c r="I334" s="266"/>
      <c r="K334" s="555"/>
      <c r="L334" s="808"/>
      <c r="M334" s="808"/>
      <c r="N334" s="808"/>
      <c r="O334" s="808"/>
      <c r="P334" s="808"/>
    </row>
    <row r="335" spans="1:16" s="354" customFormat="1" ht="20.25" customHeight="1">
      <c r="A335" s="601"/>
      <c r="B335" s="601"/>
      <c r="C335" s="601"/>
      <c r="D335" s="601"/>
      <c r="E335" s="266"/>
      <c r="F335" s="266"/>
      <c r="G335" s="266"/>
      <c r="H335" s="266"/>
      <c r="I335" s="266"/>
      <c r="K335" s="555"/>
      <c r="L335" s="808"/>
      <c r="M335" s="808"/>
      <c r="N335" s="808"/>
      <c r="O335" s="808"/>
      <c r="P335" s="808"/>
    </row>
    <row r="336" spans="1:16" s="354" customFormat="1" ht="20.25" customHeight="1">
      <c r="A336" s="601"/>
      <c r="B336" s="601"/>
      <c r="C336" s="601"/>
      <c r="D336" s="601"/>
      <c r="E336" s="266"/>
      <c r="F336" s="266"/>
      <c r="G336" s="266"/>
      <c r="H336" s="266"/>
      <c r="I336" s="266"/>
      <c r="K336" s="555"/>
      <c r="L336" s="808"/>
      <c r="M336" s="808"/>
      <c r="N336" s="808"/>
      <c r="O336" s="808"/>
      <c r="P336" s="808"/>
    </row>
    <row r="337" spans="1:16" s="354" customFormat="1" ht="20.25" customHeight="1">
      <c r="A337" s="601"/>
      <c r="B337" s="601"/>
      <c r="C337" s="601"/>
      <c r="D337" s="601"/>
      <c r="E337" s="266"/>
      <c r="F337" s="266"/>
      <c r="G337" s="266"/>
      <c r="H337" s="266"/>
      <c r="I337" s="266"/>
      <c r="K337" s="555"/>
      <c r="L337" s="808"/>
      <c r="M337" s="808"/>
      <c r="N337" s="808"/>
      <c r="O337" s="808"/>
      <c r="P337" s="808"/>
    </row>
    <row r="338" spans="1:16" s="354" customFormat="1" ht="20.25" customHeight="1">
      <c r="A338" s="601"/>
      <c r="B338" s="601"/>
      <c r="C338" s="601"/>
      <c r="D338" s="601"/>
      <c r="E338" s="266"/>
      <c r="F338" s="266"/>
      <c r="G338" s="266"/>
      <c r="H338" s="266"/>
      <c r="I338" s="266"/>
      <c r="K338" s="555"/>
      <c r="L338" s="808"/>
      <c r="M338" s="808"/>
      <c r="N338" s="808"/>
      <c r="O338" s="808"/>
      <c r="P338" s="808"/>
    </row>
    <row r="339" spans="1:16" s="354" customFormat="1" ht="20.25" customHeight="1">
      <c r="A339" s="601"/>
      <c r="B339" s="601"/>
      <c r="C339" s="601"/>
      <c r="D339" s="601"/>
      <c r="E339" s="266"/>
      <c r="F339" s="266"/>
      <c r="G339" s="266"/>
      <c r="H339" s="266"/>
      <c r="I339" s="266"/>
      <c r="K339" s="555"/>
      <c r="L339" s="808"/>
      <c r="M339" s="808"/>
      <c r="N339" s="808"/>
      <c r="O339" s="808"/>
      <c r="P339" s="808"/>
    </row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</sheetData>
  <sheetProtection/>
  <mergeCells count="7">
    <mergeCell ref="A1:J1"/>
    <mergeCell ref="D4:D5"/>
    <mergeCell ref="E4:E5"/>
    <mergeCell ref="F4:F5"/>
    <mergeCell ref="G4:G5"/>
    <mergeCell ref="H4:H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zoomScale="62" zoomScaleNormal="62" zoomScalePageLayoutView="0" workbookViewId="0" topLeftCell="A97">
      <selection activeCell="D46" sqref="D46"/>
    </sheetView>
  </sheetViews>
  <sheetFormatPr defaultColWidth="8.88671875" defaultRowHeight="13.5"/>
  <cols>
    <col min="1" max="1" width="27.3359375" style="601" bestFit="1" customWidth="1"/>
    <col min="2" max="2" width="15.21484375" style="601" customWidth="1"/>
    <col min="3" max="3" width="17.5546875" style="601" customWidth="1"/>
    <col min="4" max="4" width="19.6640625" style="601" customWidth="1"/>
    <col min="5" max="5" width="19.77734375" style="354" customWidth="1"/>
    <col min="6" max="6" width="18.4453125" style="601" customWidth="1"/>
    <col min="7" max="7" width="19.6640625" style="601" customWidth="1"/>
    <col min="8" max="8" width="20.77734375" style="601" bestFit="1" customWidth="1"/>
    <col min="9" max="9" width="18.4453125" style="601" bestFit="1" customWidth="1"/>
    <col min="10" max="10" width="42.3359375" style="601" customWidth="1"/>
    <col min="11" max="11" width="17.21484375" style="355" bestFit="1" customWidth="1"/>
    <col min="12" max="13" width="16.4453125" style="603" bestFit="1" customWidth="1"/>
    <col min="14" max="16" width="17.88671875" style="620" bestFit="1" customWidth="1"/>
    <col min="17" max="16384" width="8.88671875" style="601" customWidth="1"/>
  </cols>
  <sheetData>
    <row r="1" spans="1:10" ht="34.5" customHeight="1">
      <c r="A1" s="1051" t="s">
        <v>855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935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23.25" customHeight="1">
      <c r="A3" s="1064" t="s">
        <v>936</v>
      </c>
      <c r="B3" s="1064"/>
      <c r="E3" s="356" t="s">
        <v>856</v>
      </c>
      <c r="F3" s="356" t="s">
        <v>857</v>
      </c>
      <c r="G3" s="356" t="s">
        <v>20</v>
      </c>
      <c r="H3" s="601" t="s">
        <v>858</v>
      </c>
      <c r="J3" s="267" t="s">
        <v>859</v>
      </c>
    </row>
    <row r="4" spans="1:16" s="794" customFormat="1" ht="34.5" customHeight="1">
      <c r="A4" s="268"/>
      <c r="B4" s="269" t="s">
        <v>395</v>
      </c>
      <c r="C4" s="269"/>
      <c r="D4" s="1052" t="s">
        <v>860</v>
      </c>
      <c r="E4" s="1054" t="s">
        <v>861</v>
      </c>
      <c r="F4" s="1065" t="str">
        <f>'20년 추경수입 (대전+의정부)'!F4:F5</f>
        <v>잔여기간
(12월-2월)</v>
      </c>
      <c r="G4" s="1066" t="str">
        <f>'20년 추경수입 (대전+의정부)'!G4:G5</f>
        <v>합 계
(실적+잔여)</v>
      </c>
      <c r="H4" s="1068" t="s">
        <v>862</v>
      </c>
      <c r="I4" s="270" t="s">
        <v>398</v>
      </c>
      <c r="J4" s="1069" t="s">
        <v>455</v>
      </c>
      <c r="K4" s="357"/>
      <c r="L4" s="358"/>
      <c r="M4" s="358"/>
      <c r="N4" s="806"/>
      <c r="O4" s="806"/>
      <c r="P4" s="806"/>
    </row>
    <row r="5" spans="1:11" ht="34.5" customHeight="1">
      <c r="A5" s="272" t="s">
        <v>400</v>
      </c>
      <c r="B5" s="273" t="s">
        <v>401</v>
      </c>
      <c r="C5" s="274" t="s">
        <v>3</v>
      </c>
      <c r="D5" s="1053"/>
      <c r="E5" s="1055"/>
      <c r="F5" s="1053"/>
      <c r="G5" s="1067"/>
      <c r="H5" s="1061"/>
      <c r="I5" s="275" t="s">
        <v>402</v>
      </c>
      <c r="J5" s="1070"/>
      <c r="K5" s="357"/>
    </row>
    <row r="6" spans="1:16" ht="34.5" customHeight="1">
      <c r="A6" s="359" t="s">
        <v>456</v>
      </c>
      <c r="B6" s="343"/>
      <c r="C6" s="360"/>
      <c r="D6" s="361">
        <f>D7+D25+D62+D65+D73+D78+D70+D81+D90+D103+D111</f>
        <v>509328999999.54004</v>
      </c>
      <c r="E6" s="361">
        <f>E7+E25+E62+E65+E73+E78+E70+E81+E90+E103+E111</f>
        <v>206513238032.625</v>
      </c>
      <c r="F6" s="361">
        <f>F7+F25+F62+F65+F73+F78+F70+F81+F90+F103+F111</f>
        <v>181976272357</v>
      </c>
      <c r="G6" s="362">
        <f>G7+G25+G62+G65+G73+G78+G70+G81+G90+G103+G111</f>
        <v>388347718270</v>
      </c>
      <c r="H6" s="363">
        <f>H7+H25+H62+H65+H73+H78+H70+H81+H90+H103+H111</f>
        <v>467245303801.54004</v>
      </c>
      <c r="I6" s="364">
        <f>H6-D6</f>
        <v>-42083696198</v>
      </c>
      <c r="J6" s="365" t="s">
        <v>20</v>
      </c>
      <c r="L6" s="603">
        <f>+'20년 추경지출(대전)'!D6+'20년 추경지출(의정부)'!D6</f>
        <v>509328999999.54004</v>
      </c>
      <c r="M6" s="603">
        <f>+'20년 추경지출(대전)'!E6+'20년 추경지출(의정부)'!E6</f>
        <v>206513238033.25</v>
      </c>
      <c r="N6" s="620">
        <f>+'20년 추경지출(대전)'!F6+'20년 추경지출(의정부)'!F6</f>
        <v>179101271967</v>
      </c>
      <c r="O6" s="620">
        <f>+'20년 추경지출(대전)'!G6+'20년 추경지출(의정부)'!G6</f>
        <v>385614510000.25</v>
      </c>
      <c r="P6" s="620">
        <f>+'20년 추경지출(대전)'!H6+'20년 추경지출(의정부)'!H6</f>
        <v>467245303801.54004</v>
      </c>
    </row>
    <row r="7" spans="1:16" ht="34.5" customHeight="1">
      <c r="A7" s="366" t="s">
        <v>457</v>
      </c>
      <c r="B7" s="367"/>
      <c r="C7" s="368"/>
      <c r="D7" s="369">
        <f>D18+D8</f>
        <v>91096000000</v>
      </c>
      <c r="E7" s="369">
        <f>E18+E8</f>
        <v>56468140650.25</v>
      </c>
      <c r="F7" s="369">
        <f>F18+F8</f>
        <v>30100381830</v>
      </c>
      <c r="G7" s="370">
        <f>G18+G8</f>
        <v>86485408270</v>
      </c>
      <c r="H7" s="371">
        <f>H18+H8</f>
        <v>87852200000</v>
      </c>
      <c r="I7" s="372">
        <f aca="true" t="shared" si="0" ref="I7:I73">H7-D7</f>
        <v>-3243800000</v>
      </c>
      <c r="J7" s="373"/>
      <c r="L7" s="603">
        <f>+D6-L6</f>
        <v>0</v>
      </c>
      <c r="M7" s="603">
        <f>+E6-M6</f>
        <v>-0.625</v>
      </c>
      <c r="N7" s="603">
        <f>+F6-N6</f>
        <v>2875000390</v>
      </c>
      <c r="O7" s="603">
        <f>+G6-O6</f>
        <v>2733208269.75</v>
      </c>
      <c r="P7" s="603">
        <f>+H6-P6</f>
        <v>0</v>
      </c>
    </row>
    <row r="8" spans="1:10" ht="34.5" customHeight="1">
      <c r="A8" s="374"/>
      <c r="B8" s="375" t="s">
        <v>458</v>
      </c>
      <c r="C8" s="376"/>
      <c r="D8" s="786">
        <f>SUM(D9:D16)</f>
        <v>11800000000</v>
      </c>
      <c r="E8" s="786">
        <f>SUM(E9:E16)</f>
        <v>5261530972</v>
      </c>
      <c r="F8" s="786">
        <f>SUM(F9:F16)</f>
        <v>3993886878</v>
      </c>
      <c r="G8" s="378">
        <f>SUM(G9:G16)</f>
        <v>9255417850</v>
      </c>
      <c r="H8" s="379">
        <f>SUM(H9:H16)</f>
        <v>9800000000</v>
      </c>
      <c r="I8" s="380">
        <f t="shared" si="0"/>
        <v>-2000000000</v>
      </c>
      <c r="J8" s="754"/>
    </row>
    <row r="9" spans="1:10" ht="34.5" customHeight="1">
      <c r="A9" s="374"/>
      <c r="B9" s="375"/>
      <c r="C9" s="382" t="s">
        <v>459</v>
      </c>
      <c r="D9" s="787">
        <v>0</v>
      </c>
      <c r="E9" s="787">
        <v>0</v>
      </c>
      <c r="F9" s="787">
        <v>0</v>
      </c>
      <c r="G9" s="772">
        <f>SUM(F9:F9)</f>
        <v>0</v>
      </c>
      <c r="H9" s="302">
        <f>+IF(D9&gt;G9,D9,G9)</f>
        <v>0</v>
      </c>
      <c r="I9" s="380">
        <f t="shared" si="0"/>
        <v>0</v>
      </c>
      <c r="J9" s="758"/>
    </row>
    <row r="10" spans="1:11" ht="34.5" customHeight="1">
      <c r="A10" s="374"/>
      <c r="B10" s="375"/>
      <c r="C10" s="382" t="s">
        <v>460</v>
      </c>
      <c r="D10" s="787">
        <v>0</v>
      </c>
      <c r="E10" s="787">
        <v>0</v>
      </c>
      <c r="F10" s="787">
        <v>0</v>
      </c>
      <c r="G10" s="772">
        <f>SUM(F10:F10)</f>
        <v>0</v>
      </c>
      <c r="H10" s="302">
        <f aca="true" t="shared" si="1" ref="H10:H16">+IF(D10&gt;G10,D10,G10)</f>
        <v>0</v>
      </c>
      <c r="I10" s="380">
        <f t="shared" si="0"/>
        <v>0</v>
      </c>
      <c r="J10" s="758"/>
      <c r="K10" s="386"/>
    </row>
    <row r="11" spans="1:11" ht="36" customHeight="1">
      <c r="A11" s="374"/>
      <c r="B11" s="375"/>
      <c r="C11" s="382" t="s">
        <v>461</v>
      </c>
      <c r="D11" s="787">
        <f>7800000000+4000000000</f>
        <v>11800000000</v>
      </c>
      <c r="E11" s="787">
        <f>5206113122+55417850</f>
        <v>5261530972</v>
      </c>
      <c r="F11" s="787">
        <f>1993886878+2000000000</f>
        <v>3993886878</v>
      </c>
      <c r="G11" s="772">
        <f>+E11+F11</f>
        <v>9255417850</v>
      </c>
      <c r="H11" s="302">
        <f>7800000000+2000000000</f>
        <v>9800000000</v>
      </c>
      <c r="I11" s="387">
        <f>H11-D11</f>
        <v>-2000000000</v>
      </c>
      <c r="J11" s="800" t="s">
        <v>863</v>
      </c>
      <c r="K11" s="355">
        <f>+H11/12</f>
        <v>816666666.6666666</v>
      </c>
    </row>
    <row r="12" spans="1:10" ht="34.5" customHeight="1">
      <c r="A12" s="374"/>
      <c r="B12" s="375"/>
      <c r="C12" s="382" t="s">
        <v>462</v>
      </c>
      <c r="D12" s="787">
        <v>0</v>
      </c>
      <c r="E12" s="787">
        <v>0</v>
      </c>
      <c r="F12" s="787">
        <v>0</v>
      </c>
      <c r="G12" s="772">
        <f>SUM(F12:F12)</f>
        <v>0</v>
      </c>
      <c r="H12" s="302">
        <f t="shared" si="1"/>
        <v>0</v>
      </c>
      <c r="I12" s="380">
        <f t="shared" si="0"/>
        <v>0</v>
      </c>
      <c r="J12" s="758"/>
    </row>
    <row r="13" spans="1:11" ht="34.5" customHeight="1">
      <c r="A13" s="374"/>
      <c r="B13" s="375"/>
      <c r="C13" s="382" t="s">
        <v>463</v>
      </c>
      <c r="D13" s="787">
        <v>0</v>
      </c>
      <c r="E13" s="787">
        <v>0</v>
      </c>
      <c r="F13" s="787">
        <v>0</v>
      </c>
      <c r="G13" s="772">
        <f>SUM(F13:F13)</f>
        <v>0</v>
      </c>
      <c r="H13" s="302">
        <f t="shared" si="1"/>
        <v>0</v>
      </c>
      <c r="I13" s="380">
        <f t="shared" si="0"/>
        <v>0</v>
      </c>
      <c r="J13" s="389" t="s">
        <v>20</v>
      </c>
      <c r="K13" s="390"/>
    </row>
    <row r="14" spans="1:11" ht="34.5" customHeight="1">
      <c r="A14" s="374"/>
      <c r="B14" s="375"/>
      <c r="C14" s="391" t="s">
        <v>464</v>
      </c>
      <c r="D14" s="788">
        <v>0</v>
      </c>
      <c r="E14" s="787">
        <v>0</v>
      </c>
      <c r="F14" s="787">
        <v>0</v>
      </c>
      <c r="G14" s="772">
        <f>SUM(F14:F14)</f>
        <v>0</v>
      </c>
      <c r="H14" s="302">
        <f t="shared" si="1"/>
        <v>0</v>
      </c>
      <c r="I14" s="380">
        <f t="shared" si="0"/>
        <v>0</v>
      </c>
      <c r="J14" s="393"/>
      <c r="K14" s="390"/>
    </row>
    <row r="15" spans="1:10" ht="34.5" customHeight="1">
      <c r="A15" s="374"/>
      <c r="B15" s="375"/>
      <c r="C15" s="391" t="s">
        <v>465</v>
      </c>
      <c r="D15" s="788">
        <v>0</v>
      </c>
      <c r="E15" s="787">
        <v>0</v>
      </c>
      <c r="F15" s="787">
        <v>0</v>
      </c>
      <c r="G15" s="772">
        <f>SUM(F15:F15)</f>
        <v>0</v>
      </c>
      <c r="H15" s="302">
        <f t="shared" si="1"/>
        <v>0</v>
      </c>
      <c r="I15" s="387">
        <f t="shared" si="0"/>
        <v>0</v>
      </c>
      <c r="J15" s="389" t="s">
        <v>20</v>
      </c>
    </row>
    <row r="16" spans="1:10" ht="34.5" customHeight="1">
      <c r="A16" s="374"/>
      <c r="B16" s="375"/>
      <c r="C16" s="382" t="s">
        <v>466</v>
      </c>
      <c r="D16" s="787">
        <v>0</v>
      </c>
      <c r="E16" s="787">
        <v>0</v>
      </c>
      <c r="F16" s="787">
        <v>0</v>
      </c>
      <c r="G16" s="772">
        <f>SUM(F16:F16)</f>
        <v>0</v>
      </c>
      <c r="H16" s="302">
        <f t="shared" si="1"/>
        <v>0</v>
      </c>
      <c r="I16" s="387">
        <f t="shared" si="0"/>
        <v>0</v>
      </c>
      <c r="J16" s="389" t="s">
        <v>20</v>
      </c>
    </row>
    <row r="17" spans="1:10" ht="34.5" customHeight="1">
      <c r="A17" s="374"/>
      <c r="B17" s="375"/>
      <c r="C17" s="382"/>
      <c r="D17" s="787"/>
      <c r="E17" s="787"/>
      <c r="F17" s="787"/>
      <c r="G17" s="772"/>
      <c r="H17" s="302"/>
      <c r="I17" s="387"/>
      <c r="J17" s="389"/>
    </row>
    <row r="18" spans="1:10" ht="34.5" customHeight="1">
      <c r="A18" s="374"/>
      <c r="B18" s="394" t="s">
        <v>467</v>
      </c>
      <c r="C18" s="391"/>
      <c r="D18" s="787">
        <f>SUM(D19:D24)</f>
        <v>79296000000</v>
      </c>
      <c r="E18" s="787">
        <f>SUM(E19:E24)</f>
        <v>51206609678.25</v>
      </c>
      <c r="F18" s="787">
        <f>SUM(F19:F24)</f>
        <v>26106494952</v>
      </c>
      <c r="G18" s="772">
        <f>SUM(G19:G24)</f>
        <v>77229990420</v>
      </c>
      <c r="H18" s="302">
        <f>SUM(H19:H24)</f>
        <v>78052200000</v>
      </c>
      <c r="I18" s="387">
        <f t="shared" si="0"/>
        <v>-1243800000</v>
      </c>
      <c r="J18" s="758" t="s">
        <v>20</v>
      </c>
    </row>
    <row r="19" spans="1:11" ht="34.5" customHeight="1">
      <c r="A19" s="374"/>
      <c r="B19" s="375"/>
      <c r="C19" s="391" t="s">
        <v>468</v>
      </c>
      <c r="D19" s="788">
        <f>+'[4]2019년 본예산지출'!C16+12000000000</f>
        <v>38352800000</v>
      </c>
      <c r="E19" s="788">
        <f>+'[4]월별지출(확인용'!O17+977790420</f>
        <v>21793975592</v>
      </c>
      <c r="F19" s="787">
        <f>7203814828+4200000000</f>
        <v>11403814828</v>
      </c>
      <c r="G19" s="772">
        <f>28020000000+5177790420</f>
        <v>33197790420</v>
      </c>
      <c r="H19" s="302">
        <f>28020000000+6000000000</f>
        <v>34020000000</v>
      </c>
      <c r="I19" s="387">
        <f t="shared" si="0"/>
        <v>-4332800000</v>
      </c>
      <c r="J19" s="744" t="s">
        <v>864</v>
      </c>
      <c r="K19" s="355">
        <f>+H19/12</f>
        <v>2835000000</v>
      </c>
    </row>
    <row r="20" spans="1:11" ht="34.5" customHeight="1">
      <c r="A20" s="374"/>
      <c r="B20" s="375"/>
      <c r="C20" s="382" t="s">
        <v>469</v>
      </c>
      <c r="D20" s="788">
        <f>+'[4]2019년 본예산지출'!C17</f>
        <v>7272000000</v>
      </c>
      <c r="E20" s="788">
        <f>+'[4]월별지출(확인용'!O18</f>
        <v>4616608446</v>
      </c>
      <c r="F20" s="787">
        <v>2655391554</v>
      </c>
      <c r="G20" s="772">
        <v>7272000000</v>
      </c>
      <c r="H20" s="302">
        <f>+IF(D20&gt;G20,D20,G20)</f>
        <v>7272000000</v>
      </c>
      <c r="I20" s="387">
        <f t="shared" si="0"/>
        <v>0</v>
      </c>
      <c r="J20" s="744" t="s">
        <v>1076</v>
      </c>
      <c r="K20" s="355">
        <f>+H20/12</f>
        <v>606000000</v>
      </c>
    </row>
    <row r="21" spans="1:11" ht="34.5" customHeight="1">
      <c r="A21" s="374"/>
      <c r="B21" s="375"/>
      <c r="C21" s="382" t="s">
        <v>470</v>
      </c>
      <c r="D21" s="788">
        <f>+'[4]2019년 본예산지출'!C18</f>
        <v>26530200000</v>
      </c>
      <c r="E21" s="788">
        <f>+'[4]월별지출(확인용'!O19+115833960</f>
        <v>18714219754</v>
      </c>
      <c r="F21" s="787">
        <f>7931814206+884166040</f>
        <v>8815980246</v>
      </c>
      <c r="G21" s="801">
        <f>26530200000+1000000000</f>
        <v>27530200000</v>
      </c>
      <c r="H21" s="302">
        <f>+IF(D21&gt;G21,D21,G21)</f>
        <v>27530200000</v>
      </c>
      <c r="I21" s="387">
        <f t="shared" si="0"/>
        <v>1000000000</v>
      </c>
      <c r="J21" s="744" t="s">
        <v>1075</v>
      </c>
      <c r="K21" s="355">
        <f>+H21/12</f>
        <v>2294183333.3333335</v>
      </c>
    </row>
    <row r="22" spans="1:11" ht="34.5" customHeight="1">
      <c r="A22" s="374"/>
      <c r="B22" s="375"/>
      <c r="C22" s="391" t="s">
        <v>471</v>
      </c>
      <c r="D22" s="788">
        <f>+'[4]2019년 본예산지출'!C19</f>
        <v>6516000000</v>
      </c>
      <c r="E22" s="788">
        <f>+'[4]월별지출(확인용'!O20+4824560</f>
        <v>1968090826.25</v>
      </c>
      <c r="F22" s="787">
        <f>904733734+495175440</f>
        <v>1399909174</v>
      </c>
      <c r="G22" s="772">
        <f>2868000000+500000000</f>
        <v>3368000000</v>
      </c>
      <c r="H22" s="302">
        <f>+G22</f>
        <v>3368000000</v>
      </c>
      <c r="I22" s="387">
        <f t="shared" si="0"/>
        <v>-3148000000</v>
      </c>
      <c r="J22" s="744" t="s">
        <v>1074</v>
      </c>
      <c r="K22" s="355">
        <f>+H22/12</f>
        <v>280666666.6666667</v>
      </c>
    </row>
    <row r="23" spans="1:10" ht="34.5" customHeight="1">
      <c r="A23" s="374"/>
      <c r="B23" s="375"/>
      <c r="C23" s="382" t="s">
        <v>865</v>
      </c>
      <c r="D23" s="788">
        <f>+'[4]2019년 본예산지출'!C20</f>
        <v>30000000</v>
      </c>
      <c r="E23" s="788">
        <f>+'[4]월별지출(확인용'!O21</f>
        <v>0</v>
      </c>
      <c r="F23" s="787">
        <v>30000000</v>
      </c>
      <c r="G23" s="772">
        <f>+ROUNDUP(E23+('[4]월별지출(확인용'!S21),-6)</f>
        <v>30000000</v>
      </c>
      <c r="H23" s="302">
        <f>G23</f>
        <v>30000000</v>
      </c>
      <c r="I23" s="387">
        <f t="shared" si="0"/>
        <v>0</v>
      </c>
      <c r="J23" s="745"/>
    </row>
    <row r="24" spans="1:10" ht="34.5" customHeight="1">
      <c r="A24" s="395"/>
      <c r="B24" s="396"/>
      <c r="C24" s="397" t="s">
        <v>473</v>
      </c>
      <c r="D24" s="788">
        <f>+'[4]2019년 본예산지출'!C21</f>
        <v>595000000</v>
      </c>
      <c r="E24" s="788">
        <f>+'[4]월별지출(확인용'!O22+83114210</f>
        <v>4113715060</v>
      </c>
      <c r="F24" s="802">
        <f>1501399150+300000000</f>
        <v>1801399150</v>
      </c>
      <c r="G24" s="772">
        <f>5532000000+300000000</f>
        <v>5832000000</v>
      </c>
      <c r="H24" s="302">
        <f>+G24</f>
        <v>5832000000</v>
      </c>
      <c r="I24" s="398">
        <f t="shared" si="0"/>
        <v>5237000000</v>
      </c>
      <c r="J24" s="746" t="s">
        <v>1073</v>
      </c>
    </row>
    <row r="25" spans="1:10" ht="34.5" customHeight="1">
      <c r="A25" s="366" t="s">
        <v>474</v>
      </c>
      <c r="B25" s="367"/>
      <c r="C25" s="368"/>
      <c r="D25" s="369">
        <f>D26+D35+D45+D55</f>
        <v>91376000000</v>
      </c>
      <c r="E25" s="369">
        <f>E26+E35+E45+E55</f>
        <v>56340192985.375</v>
      </c>
      <c r="F25" s="369">
        <f>F26+F35+F45+F55</f>
        <v>40462794924</v>
      </c>
      <c r="G25" s="370">
        <f>G26+G35+G45+G55</f>
        <v>96744310000</v>
      </c>
      <c r="H25" s="371">
        <f>H26+H35+H45+H55</f>
        <v>97584310000</v>
      </c>
      <c r="I25" s="400">
        <f>H25-D25</f>
        <v>6208310000</v>
      </c>
      <c r="J25" s="373"/>
    </row>
    <row r="26" spans="1:10" ht="34.5" customHeight="1">
      <c r="A26" s="374"/>
      <c r="B26" s="375" t="s">
        <v>475</v>
      </c>
      <c r="C26" s="376"/>
      <c r="D26" s="401">
        <f>SUM(D27:D34)</f>
        <v>13788000000</v>
      </c>
      <c r="E26" s="401">
        <f>SUM(E27:E34)</f>
        <v>8949835706</v>
      </c>
      <c r="F26" s="401">
        <f>SUM(F27:F34)</f>
        <v>5276842204</v>
      </c>
      <c r="G26" s="378">
        <f>SUM(G27:G34)</f>
        <v>14168000000</v>
      </c>
      <c r="H26" s="402">
        <f>SUM(H27:H34)</f>
        <v>14168000000</v>
      </c>
      <c r="I26" s="387">
        <f t="shared" si="0"/>
        <v>380000000</v>
      </c>
      <c r="J26" s="754"/>
    </row>
    <row r="27" spans="1:13" ht="34.5" customHeight="1">
      <c r="A27" s="374"/>
      <c r="B27" s="375"/>
      <c r="C27" s="382" t="s">
        <v>476</v>
      </c>
      <c r="D27" s="787">
        <f>+'[4]2019년 본예산지출'!C24</f>
        <v>500000000</v>
      </c>
      <c r="E27" s="787">
        <f>+'[4]월별지출(확인용'!O25</f>
        <v>93398900</v>
      </c>
      <c r="F27" s="787">
        <v>406601100</v>
      </c>
      <c r="G27" s="772">
        <f>+ROUNDUP(E27+('[4]월별지출(확인용'!S25),-6)</f>
        <v>500000000</v>
      </c>
      <c r="H27" s="302">
        <f>+G27</f>
        <v>500000000</v>
      </c>
      <c r="I27" s="387">
        <f t="shared" si="0"/>
        <v>0</v>
      </c>
      <c r="J27" s="759" t="s">
        <v>866</v>
      </c>
      <c r="K27" s="404">
        <f>48000000+14000000+1148000000</f>
        <v>1210000000</v>
      </c>
      <c r="L27" s="405"/>
      <c r="M27" s="405"/>
    </row>
    <row r="28" spans="1:13" ht="34.5" customHeight="1">
      <c r="A28" s="374"/>
      <c r="B28" s="375"/>
      <c r="C28" s="382" t="s">
        <v>477</v>
      </c>
      <c r="D28" s="787">
        <f>+'[4]2019년 본예산지출'!C28</f>
        <v>3737000000</v>
      </c>
      <c r="E28" s="787">
        <v>2194546584</v>
      </c>
      <c r="F28" s="787">
        <v>1542453416</v>
      </c>
      <c r="G28" s="772">
        <v>3737000000</v>
      </c>
      <c r="H28" s="302">
        <f>+IF(D28&gt;G28,D28,G28)</f>
        <v>3737000000</v>
      </c>
      <c r="I28" s="387">
        <f t="shared" si="0"/>
        <v>0</v>
      </c>
      <c r="J28" s="760" t="s">
        <v>867</v>
      </c>
      <c r="K28" s="390">
        <f>1461143999+480000000</f>
        <v>1941143999</v>
      </c>
      <c r="L28" s="603">
        <f>88907715+30000000</f>
        <v>118907715</v>
      </c>
      <c r="M28" s="603">
        <f>207372533+111000000</f>
        <v>318372533</v>
      </c>
    </row>
    <row r="29" spans="1:10" ht="34.5" customHeight="1" hidden="1">
      <c r="A29" s="374"/>
      <c r="B29" s="375"/>
      <c r="C29" s="391" t="s">
        <v>478</v>
      </c>
      <c r="D29" s="788"/>
      <c r="E29" s="788"/>
      <c r="F29" s="788"/>
      <c r="G29" s="772">
        <f>SUM(E29:F29)</f>
        <v>0</v>
      </c>
      <c r="H29" s="302">
        <f>+IF(D29&gt;G29,D29,G29)</f>
        <v>0</v>
      </c>
      <c r="I29" s="387">
        <f t="shared" si="0"/>
        <v>0</v>
      </c>
      <c r="J29" s="758"/>
    </row>
    <row r="30" spans="1:10" ht="34.5" customHeight="1" hidden="1">
      <c r="A30" s="374"/>
      <c r="B30" s="375"/>
      <c r="C30" s="391" t="s">
        <v>479</v>
      </c>
      <c r="D30" s="788"/>
      <c r="E30" s="788"/>
      <c r="F30" s="788"/>
      <c r="G30" s="772">
        <f>SUM(E30:F30)</f>
        <v>0</v>
      </c>
      <c r="H30" s="302">
        <f>+IF(D30&gt;G30,D30,G30)</f>
        <v>0</v>
      </c>
      <c r="I30" s="407">
        <f t="shared" si="0"/>
        <v>0</v>
      </c>
      <c r="J30" s="758"/>
    </row>
    <row r="31" spans="1:13" ht="34.5" customHeight="1">
      <c r="A31" s="374"/>
      <c r="B31" s="375"/>
      <c r="C31" s="391" t="s">
        <v>480</v>
      </c>
      <c r="D31" s="786">
        <f>+'[4]2019년 본예산지출'!C34</f>
        <v>9436000000</v>
      </c>
      <c r="E31" s="786">
        <f>+'[4]월별지출(확인용'!O36+'20년 추경지출(의정부)'!E31</f>
        <v>6519977013</v>
      </c>
      <c r="F31" s="787">
        <f>+'20년 추경지출(의정부)'!F31+2922967298</f>
        <v>3116022987</v>
      </c>
      <c r="G31" s="772">
        <f>9436000000+200000000</f>
        <v>9636000000</v>
      </c>
      <c r="H31" s="302">
        <f>+G31</f>
        <v>9636000000</v>
      </c>
      <c r="I31" s="387">
        <f>H31-D31</f>
        <v>200000000</v>
      </c>
      <c r="J31" s="754" t="s">
        <v>868</v>
      </c>
      <c r="K31" s="390"/>
      <c r="M31" s="603">
        <f>+M28+L31+L28+K28</f>
        <v>2378424247</v>
      </c>
    </row>
    <row r="32" spans="1:10" ht="34.5" customHeight="1">
      <c r="A32" s="374"/>
      <c r="B32" s="375"/>
      <c r="C32" s="391" t="s">
        <v>481</v>
      </c>
      <c r="D32" s="788">
        <f>+'[4]2019년 본예산지출'!C41</f>
        <v>53000000</v>
      </c>
      <c r="E32" s="788">
        <f>37616820+8677910</f>
        <v>46294730</v>
      </c>
      <c r="F32" s="787">
        <f>15383180+100000000</f>
        <v>115383180</v>
      </c>
      <c r="G32" s="772">
        <f>53000000+50000000</f>
        <v>103000000</v>
      </c>
      <c r="H32" s="302">
        <f>+IF(D32&gt;G32,D32,G32)</f>
        <v>103000000</v>
      </c>
      <c r="I32" s="407">
        <f t="shared" si="0"/>
        <v>50000000</v>
      </c>
      <c r="J32" s="758" t="s">
        <v>869</v>
      </c>
    </row>
    <row r="33" spans="1:10" ht="34.5" customHeight="1">
      <c r="A33" s="374"/>
      <c r="B33" s="375"/>
      <c r="C33" s="391" t="s">
        <v>482</v>
      </c>
      <c r="D33" s="788">
        <f>+'[4]2019년 본예산지출'!C42</f>
        <v>62000000</v>
      </c>
      <c r="E33" s="802">
        <f>43608479+10010000</f>
        <v>53618479</v>
      </c>
      <c r="F33" s="802">
        <f>18391521+19990000</f>
        <v>38381521</v>
      </c>
      <c r="G33" s="772">
        <f>62000000+30000000</f>
        <v>92000000</v>
      </c>
      <c r="H33" s="302">
        <f>+G33</f>
        <v>92000000</v>
      </c>
      <c r="I33" s="407">
        <f t="shared" si="0"/>
        <v>30000000</v>
      </c>
      <c r="J33" s="758" t="s">
        <v>870</v>
      </c>
    </row>
    <row r="34" spans="1:11" ht="34.5" customHeight="1">
      <c r="A34" s="374"/>
      <c r="B34" s="375"/>
      <c r="C34" s="391" t="s">
        <v>483</v>
      </c>
      <c r="D34" s="788">
        <v>0</v>
      </c>
      <c r="E34" s="788">
        <v>42000000</v>
      </c>
      <c r="F34" s="787">
        <v>58000000</v>
      </c>
      <c r="G34" s="772">
        <f>+E34+F34</f>
        <v>100000000</v>
      </c>
      <c r="H34" s="302">
        <f>+G34</f>
        <v>100000000</v>
      </c>
      <c r="I34" s="407">
        <f t="shared" si="0"/>
        <v>100000000</v>
      </c>
      <c r="J34" s="758"/>
      <c r="K34" s="390"/>
    </row>
    <row r="35" spans="1:10" ht="34.5" customHeight="1">
      <c r="A35" s="374"/>
      <c r="B35" s="394" t="s">
        <v>484</v>
      </c>
      <c r="C35" s="391"/>
      <c r="D35" s="787">
        <f>SUM(D36:D44)</f>
        <v>9476000000</v>
      </c>
      <c r="E35" s="787">
        <f>SUM(E36:E44)</f>
        <v>5253915246.5</v>
      </c>
      <c r="F35" s="787">
        <f>SUM(F36:F44)</f>
        <v>6657084753</v>
      </c>
      <c r="G35" s="772">
        <f>SUM(G36:G44)</f>
        <v>11911000000</v>
      </c>
      <c r="H35" s="302">
        <f>SUM(H36:H44)</f>
        <v>11911000000</v>
      </c>
      <c r="I35" s="407">
        <f t="shared" si="0"/>
        <v>2435000000</v>
      </c>
      <c r="J35" s="758" t="s">
        <v>20</v>
      </c>
    </row>
    <row r="36" spans="1:11" ht="34.5" customHeight="1">
      <c r="A36" s="374"/>
      <c r="B36" s="375"/>
      <c r="C36" s="391" t="s">
        <v>485</v>
      </c>
      <c r="D36" s="788">
        <f>+'[4]2019년 본예산지출'!C49</f>
        <v>170000000</v>
      </c>
      <c r="E36" s="788">
        <f>+'[4]월별지출(확인용'!O57+13140000</f>
        <v>27056991.625</v>
      </c>
      <c r="F36" s="787">
        <f>156083008+36860000</f>
        <v>192943008</v>
      </c>
      <c r="G36" s="772">
        <f>170000000+50000000</f>
        <v>220000000</v>
      </c>
      <c r="H36" s="302">
        <f>+G36</f>
        <v>220000000</v>
      </c>
      <c r="I36" s="407">
        <f t="shared" si="0"/>
        <v>50000000</v>
      </c>
      <c r="J36" s="760" t="s">
        <v>871</v>
      </c>
      <c r="K36" s="390"/>
    </row>
    <row r="37" spans="1:11" ht="34.5" customHeight="1">
      <c r="A37" s="374"/>
      <c r="B37" s="375"/>
      <c r="C37" s="376" t="s">
        <v>486</v>
      </c>
      <c r="D37" s="788">
        <f>+'[4]2019년 본예산지출'!C52</f>
        <v>171000000</v>
      </c>
      <c r="E37" s="788">
        <f>+'[4]월별지출(확인용'!O60+195000</f>
        <v>24260779.875</v>
      </c>
      <c r="F37" s="802">
        <f>146934220+19805000</f>
        <v>166739220</v>
      </c>
      <c r="G37" s="801">
        <f>171000000+20000000</f>
        <v>191000000</v>
      </c>
      <c r="H37" s="302">
        <f>+G37</f>
        <v>191000000</v>
      </c>
      <c r="I37" s="407">
        <f t="shared" si="0"/>
        <v>20000000</v>
      </c>
      <c r="J37" s="758" t="s">
        <v>872</v>
      </c>
      <c r="K37" s="390"/>
    </row>
    <row r="38" spans="1:11" ht="34.5" customHeight="1">
      <c r="A38" s="374"/>
      <c r="B38" s="375"/>
      <c r="C38" s="376" t="s">
        <v>487</v>
      </c>
      <c r="D38" s="788">
        <f>+'[4]2019년 본예산지출'!C57</f>
        <v>840000000</v>
      </c>
      <c r="E38" s="788">
        <f>+'[4]월별지출(확인용'!O65+7296750</f>
        <v>273930733.75</v>
      </c>
      <c r="F38" s="787">
        <f>573366016+492703250</f>
        <v>1066069266</v>
      </c>
      <c r="G38" s="772">
        <f>840000000+500000000</f>
        <v>1340000000</v>
      </c>
      <c r="H38" s="302">
        <f>+G38</f>
        <v>1340000000</v>
      </c>
      <c r="I38" s="407">
        <f t="shared" si="0"/>
        <v>500000000</v>
      </c>
      <c r="J38" s="758" t="s">
        <v>873</v>
      </c>
      <c r="K38" s="390"/>
    </row>
    <row r="39" spans="1:11" ht="34.5" customHeight="1">
      <c r="A39" s="374"/>
      <c r="B39" s="375"/>
      <c r="C39" s="391" t="s">
        <v>488</v>
      </c>
      <c r="D39" s="788">
        <f>+'[4]2019년 본예산지출'!C60</f>
        <v>429000000</v>
      </c>
      <c r="E39" s="788">
        <f>+'[4]월별지출(확인용'!O68</f>
        <v>123748003</v>
      </c>
      <c r="F39" s="802">
        <f>305251997+200000000</f>
        <v>505251997</v>
      </c>
      <c r="G39" s="772">
        <f>429000000+200000000</f>
        <v>629000000</v>
      </c>
      <c r="H39" s="302">
        <f>+IF(D39&gt;G39,D39,G39)</f>
        <v>629000000</v>
      </c>
      <c r="I39" s="407">
        <f t="shared" si="0"/>
        <v>200000000</v>
      </c>
      <c r="J39" s="758"/>
      <c r="K39" s="386"/>
    </row>
    <row r="40" spans="1:11" ht="34.5" customHeight="1">
      <c r="A40" s="374"/>
      <c r="B40" s="375"/>
      <c r="C40" s="391" t="s">
        <v>489</v>
      </c>
      <c r="D40" s="788">
        <f>+'[4]2019년 본예산지출'!C61</f>
        <v>1040000000</v>
      </c>
      <c r="E40" s="788">
        <f>+'[4]월별지출(확인용'!O70</f>
        <v>439994586.375</v>
      </c>
      <c r="F40" s="787">
        <f>600005414+300000000</f>
        <v>900005414</v>
      </c>
      <c r="G40" s="772">
        <f>1040000000+300000000</f>
        <v>1340000000</v>
      </c>
      <c r="H40" s="302">
        <f>+G40</f>
        <v>1340000000</v>
      </c>
      <c r="I40" s="407">
        <f t="shared" si="0"/>
        <v>300000000</v>
      </c>
      <c r="J40" s="758" t="s">
        <v>874</v>
      </c>
      <c r="K40" s="390"/>
    </row>
    <row r="41" spans="1:11" ht="34.5" customHeight="1">
      <c r="A41" s="374"/>
      <c r="B41" s="375"/>
      <c r="C41" s="391" t="s">
        <v>490</v>
      </c>
      <c r="D41" s="788">
        <f>+'[4]2019년 본예산지출'!C62</f>
        <v>2587000000</v>
      </c>
      <c r="E41" s="788">
        <f>+'[4]월별지출(확인용'!O72</f>
        <v>1626808964.5</v>
      </c>
      <c r="F41" s="787">
        <f>960191035+700000000</f>
        <v>1660191035</v>
      </c>
      <c r="G41" s="772">
        <f>2587000000+700000000</f>
        <v>3287000000</v>
      </c>
      <c r="H41" s="302">
        <f>+IF(D41&gt;G41,D41,G41)</f>
        <v>3287000000</v>
      </c>
      <c r="I41" s="407">
        <f t="shared" si="0"/>
        <v>700000000</v>
      </c>
      <c r="J41" s="758" t="s">
        <v>875</v>
      </c>
      <c r="K41" s="390">
        <f>1797000000+338000000</f>
        <v>2135000000</v>
      </c>
    </row>
    <row r="42" spans="1:11" ht="34.5" customHeight="1">
      <c r="A42" s="374"/>
      <c r="B42" s="375"/>
      <c r="C42" s="391" t="s">
        <v>491</v>
      </c>
      <c r="D42" s="788">
        <f>+'[4]2019년 본예산지출'!C65</f>
        <v>215000000</v>
      </c>
      <c r="E42" s="788">
        <f>+'[4]월별지출(확인용'!O75+657980</f>
        <v>117923770.375</v>
      </c>
      <c r="F42" s="802">
        <f>97734210+99342020</f>
        <v>197076230</v>
      </c>
      <c r="G42" s="772">
        <f>215000000+100000000</f>
        <v>315000000</v>
      </c>
      <c r="H42" s="302">
        <f>+G42</f>
        <v>315000000</v>
      </c>
      <c r="I42" s="407">
        <f t="shared" si="0"/>
        <v>100000000</v>
      </c>
      <c r="J42" s="758" t="s">
        <v>876</v>
      </c>
      <c r="K42" s="390"/>
    </row>
    <row r="43" spans="1:11" ht="34.5" customHeight="1">
      <c r="A43" s="374"/>
      <c r="B43" s="375"/>
      <c r="C43" s="391" t="s">
        <v>492</v>
      </c>
      <c r="D43" s="788">
        <f>+'[4]2019년 본예산지출'!C68</f>
        <v>2279000000</v>
      </c>
      <c r="E43" s="788">
        <f>+'[4]월별지출(확인용'!O78+377500</f>
        <v>1206474487</v>
      </c>
      <c r="F43" s="787">
        <f>1072903013+99622500</f>
        <v>1172525513</v>
      </c>
      <c r="G43" s="772">
        <f>2279000000+100000000</f>
        <v>2379000000</v>
      </c>
      <c r="H43" s="302">
        <f>+IF(D43&gt;G43,D43,G43)</f>
        <v>2379000000</v>
      </c>
      <c r="I43" s="407">
        <f t="shared" si="0"/>
        <v>100000000</v>
      </c>
      <c r="J43" s="759" t="s">
        <v>877</v>
      </c>
      <c r="K43" s="390"/>
    </row>
    <row r="44" spans="1:11" ht="34.5" customHeight="1">
      <c r="A44" s="374"/>
      <c r="B44" s="375"/>
      <c r="C44" s="391" t="s">
        <v>493</v>
      </c>
      <c r="D44" s="788">
        <f>+'[4]2019년 본예산지출'!C76</f>
        <v>1745000000</v>
      </c>
      <c r="E44" s="788">
        <f>+'[4]월별지출(확인용'!O87+183741565</f>
        <v>1413716930</v>
      </c>
      <c r="F44" s="802">
        <f>580024635+216258435</f>
        <v>796283070</v>
      </c>
      <c r="G44" s="801">
        <f>1810000000+400000000</f>
        <v>2210000000</v>
      </c>
      <c r="H44" s="302">
        <f>+G44</f>
        <v>2210000000</v>
      </c>
      <c r="I44" s="407">
        <f t="shared" si="0"/>
        <v>465000000</v>
      </c>
      <c r="J44" s="759" t="s">
        <v>878</v>
      </c>
      <c r="K44" s="355">
        <f>1125000000+385000000</f>
        <v>1510000000</v>
      </c>
    </row>
    <row r="45" spans="1:10" ht="34.5" customHeight="1">
      <c r="A45" s="374"/>
      <c r="B45" s="394" t="s">
        <v>494</v>
      </c>
      <c r="C45" s="391"/>
      <c r="D45" s="787">
        <f>SUM(D46:D54)</f>
        <v>1951000000</v>
      </c>
      <c r="E45" s="787">
        <f>SUM(E46:E54)</f>
        <v>1208009623.875</v>
      </c>
      <c r="F45" s="787">
        <f>SUM(F46:F54)</f>
        <v>1436300376</v>
      </c>
      <c r="G45" s="772">
        <f>SUM(G46:G54)</f>
        <v>2644310000</v>
      </c>
      <c r="H45" s="302">
        <f>SUM(H46:H54)</f>
        <v>2644310000</v>
      </c>
      <c r="I45" s="407">
        <f t="shared" si="0"/>
        <v>693310000</v>
      </c>
      <c r="J45" s="758"/>
    </row>
    <row r="46" spans="1:13" ht="34.5" customHeight="1">
      <c r="A46" s="374"/>
      <c r="B46" s="375"/>
      <c r="C46" s="391" t="s">
        <v>495</v>
      </c>
      <c r="D46" s="788">
        <f>+'[4]2019년 본예산지출'!C81</f>
        <v>757000000</v>
      </c>
      <c r="E46" s="788">
        <f>+'[4]월별지출(확인용'!O92+5827500</f>
        <v>553965022</v>
      </c>
      <c r="F46" s="802">
        <f>208862478+194172500</f>
        <v>403034978</v>
      </c>
      <c r="G46" s="772">
        <f>757000000+200000000</f>
        <v>957000000</v>
      </c>
      <c r="H46" s="302">
        <f>+G46</f>
        <v>957000000</v>
      </c>
      <c r="I46" s="407">
        <f t="shared" si="0"/>
        <v>200000000</v>
      </c>
      <c r="J46" s="758" t="s">
        <v>879</v>
      </c>
      <c r="K46" s="390">
        <f>+H46-G46</f>
        <v>0</v>
      </c>
      <c r="L46" s="603">
        <f>10833750+3611250+390675521+180000000</f>
        <v>585120521</v>
      </c>
      <c r="M46" s="603">
        <f>+L46+K46</f>
        <v>585120521</v>
      </c>
    </row>
    <row r="47" spans="1:11" ht="34.5" customHeight="1">
      <c r="A47" s="374"/>
      <c r="B47" s="375"/>
      <c r="C47" s="409" t="s">
        <v>497</v>
      </c>
      <c r="D47" s="788">
        <f>+'[4]2019년 본예산지출'!C87</f>
        <v>560000000</v>
      </c>
      <c r="E47" s="788">
        <f>+'[4]월별지출(확인용'!O98</f>
        <v>214180666.875</v>
      </c>
      <c r="F47" s="787">
        <v>345819333</v>
      </c>
      <c r="G47" s="772">
        <v>560000000</v>
      </c>
      <c r="H47" s="302">
        <f>+G47</f>
        <v>560000000</v>
      </c>
      <c r="I47" s="410">
        <f t="shared" si="0"/>
        <v>0</v>
      </c>
      <c r="J47" s="760" t="s">
        <v>880</v>
      </c>
      <c r="K47" s="355">
        <f>+H47-G47</f>
        <v>0</v>
      </c>
    </row>
    <row r="48" spans="1:11" ht="34.5" customHeight="1">
      <c r="A48" s="374"/>
      <c r="B48" s="375"/>
      <c r="C48" s="376" t="s">
        <v>498</v>
      </c>
      <c r="D48" s="788">
        <v>0</v>
      </c>
      <c r="E48" s="788">
        <v>0</v>
      </c>
      <c r="F48" s="787">
        <v>0</v>
      </c>
      <c r="G48" s="772">
        <f>+E48+F48</f>
        <v>0</v>
      </c>
      <c r="H48" s="302">
        <f>+IF(D48&gt;G48,D48,G48)</f>
        <v>0</v>
      </c>
      <c r="I48" s="387">
        <f t="shared" si="0"/>
        <v>0</v>
      </c>
      <c r="J48" s="754"/>
      <c r="K48" s="386"/>
    </row>
    <row r="49" spans="1:16" s="817" customFormat="1" ht="34.5" customHeight="1">
      <c r="A49" s="374"/>
      <c r="B49" s="375"/>
      <c r="C49" s="944" t="s">
        <v>1202</v>
      </c>
      <c r="D49" s="940">
        <v>0</v>
      </c>
      <c r="E49" s="940">
        <v>0</v>
      </c>
      <c r="F49" s="781">
        <v>0</v>
      </c>
      <c r="G49" s="772">
        <f>+E49+F49</f>
        <v>0</v>
      </c>
      <c r="H49" s="302">
        <f>+IF(D49&gt;G49,D49,G49)</f>
        <v>0</v>
      </c>
      <c r="I49" s="387">
        <f t="shared" si="0"/>
        <v>0</v>
      </c>
      <c r="J49" s="943"/>
      <c r="K49" s="386"/>
      <c r="L49" s="819"/>
      <c r="M49" s="819"/>
      <c r="N49" s="818"/>
      <c r="O49" s="818"/>
      <c r="P49" s="818"/>
    </row>
    <row r="50" spans="1:16" s="817" customFormat="1" ht="34.5" customHeight="1">
      <c r="A50" s="374"/>
      <c r="B50" s="375"/>
      <c r="C50" s="436" t="s">
        <v>1203</v>
      </c>
      <c r="D50" s="940">
        <v>0</v>
      </c>
      <c r="E50" s="940">
        <v>0</v>
      </c>
      <c r="F50" s="781">
        <v>0</v>
      </c>
      <c r="G50" s="772">
        <f>+E50+F50</f>
        <v>0</v>
      </c>
      <c r="H50" s="302">
        <f>+IF(D50&gt;G50,D50,G50)</f>
        <v>0</v>
      </c>
      <c r="I50" s="387">
        <f t="shared" si="0"/>
        <v>0</v>
      </c>
      <c r="J50" s="943"/>
      <c r="K50" s="386"/>
      <c r="L50" s="819"/>
      <c r="M50" s="819"/>
      <c r="N50" s="818"/>
      <c r="O50" s="818"/>
      <c r="P50" s="818"/>
    </row>
    <row r="51" spans="1:11" ht="34.5" customHeight="1">
      <c r="A51" s="395"/>
      <c r="B51" s="396"/>
      <c r="C51" s="397" t="s">
        <v>1204</v>
      </c>
      <c r="D51" s="765">
        <f>+'[4]2019년 본예산지출'!C95</f>
        <v>120000000</v>
      </c>
      <c r="E51" s="765">
        <f>+'[4]월별지출(확인용'!O103</f>
        <v>40361225</v>
      </c>
      <c r="F51" s="781">
        <v>79638775</v>
      </c>
      <c r="G51" s="767">
        <v>120000000</v>
      </c>
      <c r="H51" s="413">
        <f>+IF(D51&gt;G51,D51,G51)</f>
        <v>120000000</v>
      </c>
      <c r="I51" s="398">
        <f t="shared" si="0"/>
        <v>0</v>
      </c>
      <c r="J51" s="399" t="s">
        <v>881</v>
      </c>
      <c r="K51" s="355">
        <f>+H51-G51</f>
        <v>0</v>
      </c>
    </row>
    <row r="52" spans="1:16" s="603" customFormat="1" ht="34.5" customHeight="1">
      <c r="A52" s="374"/>
      <c r="B52" s="375"/>
      <c r="C52" s="376" t="s">
        <v>501</v>
      </c>
      <c r="D52" s="786">
        <f>+'[4]2019년 본예산지출'!C96</f>
        <v>472000000</v>
      </c>
      <c r="E52" s="786">
        <f>+'[4]월별지출(확인용'!O105+93310000</f>
        <v>399502710</v>
      </c>
      <c r="F52" s="768">
        <f>165807290+300000000</f>
        <v>465807290</v>
      </c>
      <c r="G52" s="803">
        <f>472000000+393310000</f>
        <v>865310000</v>
      </c>
      <c r="H52" s="402">
        <f>+G52</f>
        <v>865310000</v>
      </c>
      <c r="I52" s="387">
        <f t="shared" si="0"/>
        <v>393310000</v>
      </c>
      <c r="J52" s="754" t="s">
        <v>882</v>
      </c>
      <c r="K52" s="390"/>
      <c r="N52" s="620"/>
      <c r="O52" s="620"/>
      <c r="P52" s="620"/>
    </row>
    <row r="53" spans="1:16" s="603" customFormat="1" ht="34.5" customHeight="1">
      <c r="A53" s="374"/>
      <c r="B53" s="375"/>
      <c r="C53" s="376" t="s">
        <v>503</v>
      </c>
      <c r="D53" s="788"/>
      <c r="E53" s="788">
        <f>+'[4]월별지출(확인용'!O107</f>
        <v>0</v>
      </c>
      <c r="F53" s="787">
        <v>0</v>
      </c>
      <c r="G53" s="772">
        <f>+ROUNDUP(E53+('[4]월별지출(확인용'!S107),-6)</f>
        <v>0</v>
      </c>
      <c r="H53" s="302">
        <f>+IF(D53&gt;G53,D53,G53)</f>
        <v>0</v>
      </c>
      <c r="I53" s="387">
        <f t="shared" si="0"/>
        <v>0</v>
      </c>
      <c r="J53" s="754"/>
      <c r="K53" s="390"/>
      <c r="N53" s="620"/>
      <c r="O53" s="620"/>
      <c r="P53" s="620"/>
    </row>
    <row r="54" spans="1:16" s="603" customFormat="1" ht="34.5" customHeight="1">
      <c r="A54" s="374"/>
      <c r="B54" s="375"/>
      <c r="C54" s="391" t="s">
        <v>504</v>
      </c>
      <c r="D54" s="788">
        <f>+'[4]2019년 본예산지출'!C99</f>
        <v>42000000</v>
      </c>
      <c r="E54" s="788">
        <f>+'[4]월별지출(확인용'!O108</f>
        <v>0</v>
      </c>
      <c r="F54" s="787">
        <f>42000000+100000000</f>
        <v>142000000</v>
      </c>
      <c r="G54" s="772">
        <f>42000000+100000000</f>
        <v>142000000</v>
      </c>
      <c r="H54" s="302">
        <f>+IF(D54&gt;G54,D54,G54)</f>
        <v>142000000</v>
      </c>
      <c r="I54" s="407">
        <f t="shared" si="0"/>
        <v>100000000</v>
      </c>
      <c r="J54" s="758"/>
      <c r="K54" s="355">
        <f>+H54-G54</f>
        <v>0</v>
      </c>
      <c r="N54" s="620"/>
      <c r="O54" s="620"/>
      <c r="P54" s="620"/>
    </row>
    <row r="55" spans="1:16" s="603" customFormat="1" ht="34.5" customHeight="1">
      <c r="A55" s="374"/>
      <c r="B55" s="394" t="s">
        <v>505</v>
      </c>
      <c r="C55" s="391"/>
      <c r="D55" s="787">
        <f>SUM(D56:D61)</f>
        <v>66161000000</v>
      </c>
      <c r="E55" s="787">
        <f>SUM(E56:E61)</f>
        <v>40928432409</v>
      </c>
      <c r="F55" s="787">
        <f>SUM(F56:F61)</f>
        <v>27092567591</v>
      </c>
      <c r="G55" s="772">
        <f>SUM(G56:G61)</f>
        <v>68021000000</v>
      </c>
      <c r="H55" s="302">
        <f>SUM(H56:H61)</f>
        <v>68861000000</v>
      </c>
      <c r="I55" s="407">
        <f t="shared" si="0"/>
        <v>2700000000</v>
      </c>
      <c r="J55" s="758"/>
      <c r="K55" s="355"/>
      <c r="N55" s="620"/>
      <c r="O55" s="620"/>
      <c r="P55" s="620"/>
    </row>
    <row r="56" spans="1:16" s="603" customFormat="1" ht="34.5" customHeight="1">
      <c r="A56" s="374"/>
      <c r="B56" s="375"/>
      <c r="C56" s="391" t="s">
        <v>506</v>
      </c>
      <c r="D56" s="786">
        <f>+'[4]2019년 본예산지출'!C101</f>
        <v>32000000000</v>
      </c>
      <c r="E56" s="786">
        <v>20596108548</v>
      </c>
      <c r="F56" s="787">
        <f>10403891452+3000000000</f>
        <v>13403891452</v>
      </c>
      <c r="G56" s="772">
        <f>31000000000+3000000000</f>
        <v>34000000000</v>
      </c>
      <c r="H56" s="302">
        <f>+D56+1000000000</f>
        <v>33000000000</v>
      </c>
      <c r="I56" s="407">
        <f>+H56-D56</f>
        <v>1000000000</v>
      </c>
      <c r="J56" s="760" t="s">
        <v>883</v>
      </c>
      <c r="K56" s="390">
        <f aca="true" t="shared" si="2" ref="K56:K61">+H56-G56</f>
        <v>-1000000000</v>
      </c>
      <c r="N56" s="620"/>
      <c r="O56" s="620"/>
      <c r="P56" s="620"/>
    </row>
    <row r="57" spans="1:16" s="603" customFormat="1" ht="34.5" customHeight="1">
      <c r="A57" s="374"/>
      <c r="B57" s="375"/>
      <c r="C57" s="409" t="s">
        <v>505</v>
      </c>
      <c r="D57" s="786">
        <f>+'[4]2019년 본예산지출'!C104</f>
        <v>18401000000</v>
      </c>
      <c r="E57" s="786">
        <v>11106263475</v>
      </c>
      <c r="F57" s="787">
        <f>6294736525+2000000000</f>
        <v>8294736525</v>
      </c>
      <c r="G57" s="772">
        <f>17401000000+2000000000</f>
        <v>19401000000</v>
      </c>
      <c r="H57" s="302">
        <f>18401000000+1000000000</f>
        <v>19401000000</v>
      </c>
      <c r="I57" s="410">
        <f t="shared" si="0"/>
        <v>1000000000</v>
      </c>
      <c r="J57" s="414" t="s">
        <v>884</v>
      </c>
      <c r="K57" s="390">
        <f t="shared" si="2"/>
        <v>0</v>
      </c>
      <c r="N57" s="620"/>
      <c r="O57" s="620"/>
      <c r="P57" s="620"/>
    </row>
    <row r="58" spans="1:16" s="603" customFormat="1" ht="34.5" customHeight="1">
      <c r="A58" s="374"/>
      <c r="B58" s="375"/>
      <c r="C58" s="391" t="s">
        <v>487</v>
      </c>
      <c r="D58" s="788">
        <f>+'[4]2019년 본예산지출'!C111</f>
        <v>10000000000</v>
      </c>
      <c r="E58" s="788">
        <v>6563765486</v>
      </c>
      <c r="F58" s="787">
        <f>2768234514+1000000000</f>
        <v>3768234514</v>
      </c>
      <c r="G58" s="772">
        <f>9332000000+1000000000</f>
        <v>10332000000</v>
      </c>
      <c r="H58" s="482">
        <f>10000000000+500000000</f>
        <v>10500000000</v>
      </c>
      <c r="I58" s="407">
        <f>H58-D58</f>
        <v>500000000</v>
      </c>
      <c r="J58" s="758" t="s">
        <v>885</v>
      </c>
      <c r="K58" s="390">
        <f t="shared" si="2"/>
        <v>168000000</v>
      </c>
      <c r="N58" s="620"/>
      <c r="O58" s="620"/>
      <c r="P58" s="620"/>
    </row>
    <row r="59" spans="1:16" s="603" customFormat="1" ht="34.5" customHeight="1">
      <c r="A59" s="374"/>
      <c r="B59" s="375"/>
      <c r="C59" s="415" t="s">
        <v>207</v>
      </c>
      <c r="D59" s="786">
        <f>+'[4]2019년 본예산지출'!C114</f>
        <v>1610000000</v>
      </c>
      <c r="E59" s="786">
        <v>96756700</v>
      </c>
      <c r="F59" s="787">
        <f>150243300+200000000</f>
        <v>350243300</v>
      </c>
      <c r="G59" s="772">
        <f>247000000+200000000</f>
        <v>447000000</v>
      </c>
      <c r="H59" s="302">
        <f>1610000000+200000000</f>
        <v>1810000000</v>
      </c>
      <c r="I59" s="407">
        <f>H59-D59</f>
        <v>200000000</v>
      </c>
      <c r="J59" s="416"/>
      <c r="K59" s="390">
        <f t="shared" si="2"/>
        <v>1363000000</v>
      </c>
      <c r="N59" s="620"/>
      <c r="O59" s="620"/>
      <c r="P59" s="620"/>
    </row>
    <row r="60" spans="1:16" s="603" customFormat="1" ht="34.5" customHeight="1">
      <c r="A60" s="374"/>
      <c r="B60" s="375"/>
      <c r="C60" s="409" t="s">
        <v>886</v>
      </c>
      <c r="D60" s="786">
        <f>+'[4]2019년 본예산지출'!C115</f>
        <v>2075000000</v>
      </c>
      <c r="E60" s="786">
        <v>1099677647</v>
      </c>
      <c r="F60" s="787">
        <v>675322353</v>
      </c>
      <c r="G60" s="772">
        <f>+E60+F60</f>
        <v>1775000000</v>
      </c>
      <c r="H60" s="302">
        <f>+IF(D60&gt;G60,D60,G60)</f>
        <v>2075000000</v>
      </c>
      <c r="I60" s="410">
        <f t="shared" si="0"/>
        <v>0</v>
      </c>
      <c r="J60" s="416"/>
      <c r="K60" s="390">
        <f t="shared" si="2"/>
        <v>300000000</v>
      </c>
      <c r="N60" s="620"/>
      <c r="O60" s="620"/>
      <c r="P60" s="620"/>
    </row>
    <row r="61" spans="1:16" s="603" customFormat="1" ht="34.5" customHeight="1">
      <c r="A61" s="374"/>
      <c r="B61" s="375"/>
      <c r="C61" s="409" t="s">
        <v>887</v>
      </c>
      <c r="D61" s="786">
        <f>+'[4]2019년 본예산지출'!C116</f>
        <v>2075000000</v>
      </c>
      <c r="E61" s="786">
        <v>1465860553</v>
      </c>
      <c r="F61" s="787">
        <v>600139447</v>
      </c>
      <c r="G61" s="772">
        <f>+ROUNDUP(E61+('[4]월별지출(확인용'!S128),-6)</f>
        <v>2066000000</v>
      </c>
      <c r="H61" s="302">
        <f>+IF(D61&gt;G61,D61,G61)</f>
        <v>2075000000</v>
      </c>
      <c r="I61" s="410">
        <f t="shared" si="0"/>
        <v>0</v>
      </c>
      <c r="J61" s="416"/>
      <c r="K61" s="390">
        <f t="shared" si="2"/>
        <v>9000000</v>
      </c>
      <c r="N61" s="620"/>
      <c r="O61" s="620"/>
      <c r="P61" s="620"/>
    </row>
    <row r="62" spans="1:16" s="603" customFormat="1" ht="34.5" customHeight="1">
      <c r="A62" s="366" t="s">
        <v>888</v>
      </c>
      <c r="B62" s="367"/>
      <c r="C62" s="368"/>
      <c r="D62" s="369">
        <f>D63</f>
        <v>1265000000</v>
      </c>
      <c r="E62" s="369">
        <f>E63</f>
        <v>1118001366</v>
      </c>
      <c r="F62" s="369">
        <f>F63</f>
        <v>600998634</v>
      </c>
      <c r="G62" s="370">
        <f>G63</f>
        <v>1719000000</v>
      </c>
      <c r="H62" s="371">
        <f>H63</f>
        <v>1719000000</v>
      </c>
      <c r="I62" s="400">
        <f t="shared" si="0"/>
        <v>454000000</v>
      </c>
      <c r="J62" s="373"/>
      <c r="K62" s="355"/>
      <c r="N62" s="620"/>
      <c r="O62" s="620"/>
      <c r="P62" s="620"/>
    </row>
    <row r="63" spans="1:16" s="603" customFormat="1" ht="34.5" customHeight="1">
      <c r="A63" s="374"/>
      <c r="B63" s="375" t="s">
        <v>889</v>
      </c>
      <c r="C63" s="376"/>
      <c r="D63" s="401">
        <f>SUM(D64)</f>
        <v>1265000000</v>
      </c>
      <c r="E63" s="401">
        <f>SUM(E64)</f>
        <v>1118001366</v>
      </c>
      <c r="F63" s="401">
        <f>SUM(F64)</f>
        <v>600998634</v>
      </c>
      <c r="G63" s="378">
        <f>SUM(E63:F63)</f>
        <v>1719000000</v>
      </c>
      <c r="H63" s="402">
        <f>SUM(H64)</f>
        <v>1719000000</v>
      </c>
      <c r="I63" s="387">
        <f t="shared" si="0"/>
        <v>454000000</v>
      </c>
      <c r="J63" s="754"/>
      <c r="K63" s="355"/>
      <c r="N63" s="620"/>
      <c r="O63" s="620"/>
      <c r="P63" s="620"/>
    </row>
    <row r="64" spans="1:16" s="603" customFormat="1" ht="34.5" customHeight="1">
      <c r="A64" s="395"/>
      <c r="B64" s="396"/>
      <c r="C64" s="417" t="s">
        <v>889</v>
      </c>
      <c r="D64" s="789">
        <f>+'[4]2019년 본예산지출'!C119</f>
        <v>1265000000</v>
      </c>
      <c r="E64" s="789">
        <v>1118001366</v>
      </c>
      <c r="F64" s="787">
        <v>600998634</v>
      </c>
      <c r="G64" s="772">
        <f>+ROUNDUP(E64+('[4]월별지출(확인용'!S130),-6)</f>
        <v>1719000000</v>
      </c>
      <c r="H64" s="302">
        <f>+G64</f>
        <v>1719000000</v>
      </c>
      <c r="I64" s="398">
        <f t="shared" si="0"/>
        <v>454000000</v>
      </c>
      <c r="J64" s="419"/>
      <c r="K64" s="355">
        <f>+H64-G64</f>
        <v>0</v>
      </c>
      <c r="N64" s="620"/>
      <c r="O64" s="620"/>
      <c r="P64" s="620"/>
    </row>
    <row r="65" spans="1:16" s="603" customFormat="1" ht="34.5" customHeight="1">
      <c r="A65" s="366" t="s">
        <v>513</v>
      </c>
      <c r="B65" s="367"/>
      <c r="C65" s="368"/>
      <c r="D65" s="369">
        <f>D66+D68</f>
        <v>3500000000</v>
      </c>
      <c r="E65" s="369">
        <f>E66+E68</f>
        <v>189045136</v>
      </c>
      <c r="F65" s="369">
        <f>F66+F68</f>
        <v>1310954864</v>
      </c>
      <c r="G65" s="370">
        <f>G66+G68</f>
        <v>1500000000</v>
      </c>
      <c r="H65" s="371">
        <f>H66+H68</f>
        <v>1500000000</v>
      </c>
      <c r="I65" s="400">
        <f t="shared" si="0"/>
        <v>-2000000000</v>
      </c>
      <c r="J65" s="373"/>
      <c r="K65" s="355"/>
      <c r="N65" s="620"/>
      <c r="O65" s="620"/>
      <c r="P65" s="620"/>
    </row>
    <row r="66" spans="1:16" s="603" customFormat="1" ht="34.5" customHeight="1">
      <c r="A66" s="374"/>
      <c r="B66" s="375" t="s">
        <v>514</v>
      </c>
      <c r="C66" s="376"/>
      <c r="D66" s="401">
        <f>SUM(D67)</f>
        <v>3000000000</v>
      </c>
      <c r="E66" s="401">
        <f>SUM(E67)</f>
        <v>0</v>
      </c>
      <c r="F66" s="401">
        <f>SUM(F67)</f>
        <v>1000000000</v>
      </c>
      <c r="G66" s="378">
        <f>SUM(E66:F66)</f>
        <v>1000000000</v>
      </c>
      <c r="H66" s="402">
        <f>SUM(H67)</f>
        <v>1000000000</v>
      </c>
      <c r="I66" s="387">
        <f t="shared" si="0"/>
        <v>-2000000000</v>
      </c>
      <c r="J66" s="754"/>
      <c r="K66" s="355"/>
      <c r="N66" s="620"/>
      <c r="O66" s="620"/>
      <c r="P66" s="620"/>
    </row>
    <row r="67" spans="1:16" s="603" customFormat="1" ht="34.5" customHeight="1">
      <c r="A67" s="374"/>
      <c r="B67" s="420"/>
      <c r="C67" s="376" t="s">
        <v>514</v>
      </c>
      <c r="D67" s="786">
        <v>3000000000</v>
      </c>
      <c r="E67" s="786">
        <f>+'[4]월별지출(확인용'!O134</f>
        <v>0</v>
      </c>
      <c r="F67" s="786">
        <v>1000000000</v>
      </c>
      <c r="G67" s="772">
        <f>SUM(E67:F67)</f>
        <v>1000000000</v>
      </c>
      <c r="H67" s="302">
        <f>+G67</f>
        <v>1000000000</v>
      </c>
      <c r="I67" s="407">
        <f t="shared" si="0"/>
        <v>-2000000000</v>
      </c>
      <c r="J67" s="754"/>
      <c r="K67" s="355"/>
      <c r="N67" s="620"/>
      <c r="O67" s="620"/>
      <c r="P67" s="620"/>
    </row>
    <row r="68" spans="1:10" ht="34.5" customHeight="1">
      <c r="A68" s="374"/>
      <c r="B68" s="421" t="s">
        <v>515</v>
      </c>
      <c r="C68" s="376"/>
      <c r="D68" s="401">
        <f>SUM(D69:D69)</f>
        <v>500000000</v>
      </c>
      <c r="E68" s="401">
        <f>SUM(E69:E69)</f>
        <v>189045136</v>
      </c>
      <c r="F68" s="401">
        <f>SUM(F69:F69)</f>
        <v>310954864</v>
      </c>
      <c r="G68" s="378">
        <f>SUM(G69:G69)</f>
        <v>500000000</v>
      </c>
      <c r="H68" s="402">
        <f>SUM(H69:H69)</f>
        <v>500000000</v>
      </c>
      <c r="I68" s="387">
        <f t="shared" si="0"/>
        <v>0</v>
      </c>
      <c r="J68" s="754"/>
    </row>
    <row r="69" spans="1:11" ht="34.5" customHeight="1">
      <c r="A69" s="374"/>
      <c r="B69" s="375"/>
      <c r="C69" s="376" t="s">
        <v>516</v>
      </c>
      <c r="D69" s="786">
        <f>+'[4]2019년 본예산지출'!C125</f>
        <v>500000000</v>
      </c>
      <c r="E69" s="786">
        <v>189045136</v>
      </c>
      <c r="F69" s="787">
        <v>310954864</v>
      </c>
      <c r="G69" s="772">
        <f>+ROUNDUP(E69+('[4]월별지출(확인용'!S137),-6)</f>
        <v>500000000</v>
      </c>
      <c r="H69" s="302">
        <f>+IF(D69&gt;G69,D69,G69)</f>
        <v>500000000</v>
      </c>
      <c r="I69" s="407">
        <f t="shared" si="0"/>
        <v>0</v>
      </c>
      <c r="J69" s="754" t="s">
        <v>890</v>
      </c>
      <c r="K69" s="355">
        <f>+H69-G69</f>
        <v>0</v>
      </c>
    </row>
    <row r="70" spans="1:10" ht="34.5" customHeight="1">
      <c r="A70" s="422" t="s">
        <v>891</v>
      </c>
      <c r="B70" s="367"/>
      <c r="C70" s="368"/>
      <c r="D70" s="369">
        <f aca="true" t="shared" si="3" ref="D70:H71">D71</f>
        <v>3000000000</v>
      </c>
      <c r="E70" s="369">
        <f t="shared" si="3"/>
        <v>1242687060</v>
      </c>
      <c r="F70" s="369">
        <f t="shared" si="3"/>
        <v>1757312940</v>
      </c>
      <c r="G70" s="370">
        <f t="shared" si="3"/>
        <v>3000000000</v>
      </c>
      <c r="H70" s="371">
        <f t="shared" si="3"/>
        <v>3000000000</v>
      </c>
      <c r="I70" s="400">
        <f>H70-D70</f>
        <v>0</v>
      </c>
      <c r="J70" s="373"/>
    </row>
    <row r="71" spans="1:10" ht="34.5" customHeight="1">
      <c r="A71" s="423"/>
      <c r="B71" s="375" t="s">
        <v>892</v>
      </c>
      <c r="C71" s="376"/>
      <c r="D71" s="401">
        <f t="shared" si="3"/>
        <v>3000000000</v>
      </c>
      <c r="E71" s="401">
        <f t="shared" si="3"/>
        <v>1242687060</v>
      </c>
      <c r="F71" s="401">
        <f t="shared" si="3"/>
        <v>1757312940</v>
      </c>
      <c r="G71" s="378">
        <f t="shared" si="3"/>
        <v>3000000000</v>
      </c>
      <c r="H71" s="402">
        <f t="shared" si="3"/>
        <v>3000000000</v>
      </c>
      <c r="I71" s="387">
        <f>H71-D71</f>
        <v>0</v>
      </c>
      <c r="J71" s="754"/>
    </row>
    <row r="72" spans="1:11" ht="34.5" customHeight="1">
      <c r="A72" s="423"/>
      <c r="B72" s="375"/>
      <c r="C72" s="376" t="s">
        <v>893</v>
      </c>
      <c r="D72" s="786">
        <f>+'[4]2019년 본예산지출'!C126</f>
        <v>3000000000</v>
      </c>
      <c r="E72" s="786">
        <v>1242687060</v>
      </c>
      <c r="F72" s="787">
        <v>1757312940</v>
      </c>
      <c r="G72" s="772">
        <v>3000000000</v>
      </c>
      <c r="H72" s="302">
        <f>+G72</f>
        <v>3000000000</v>
      </c>
      <c r="I72" s="407">
        <f>H72-D72</f>
        <v>0</v>
      </c>
      <c r="J72" s="758"/>
      <c r="K72" s="355">
        <f>+H72-G72</f>
        <v>0</v>
      </c>
    </row>
    <row r="73" spans="1:10" ht="34.5" customHeight="1">
      <c r="A73" s="366" t="s">
        <v>521</v>
      </c>
      <c r="B73" s="367"/>
      <c r="C73" s="368"/>
      <c r="D73" s="369">
        <f>SUM(D74)</f>
        <v>12210000000</v>
      </c>
      <c r="E73" s="369">
        <f>SUM(E74)</f>
        <v>2734762384</v>
      </c>
      <c r="F73" s="369">
        <f>SUM(F74)</f>
        <v>9552237616</v>
      </c>
      <c r="G73" s="370">
        <f>SUM(G74)</f>
        <v>12287000000</v>
      </c>
      <c r="H73" s="371">
        <f>SUM(H74)</f>
        <v>12210000000</v>
      </c>
      <c r="I73" s="400">
        <f t="shared" si="0"/>
        <v>0</v>
      </c>
      <c r="J73" s="373"/>
    </row>
    <row r="74" spans="1:10" ht="34.5" customHeight="1">
      <c r="A74" s="374"/>
      <c r="B74" s="375" t="s">
        <v>521</v>
      </c>
      <c r="C74" s="376"/>
      <c r="D74" s="401">
        <f>SUM(D75:D77)</f>
        <v>12210000000</v>
      </c>
      <c r="E74" s="401">
        <f>SUM(E75:E77)</f>
        <v>2734762384</v>
      </c>
      <c r="F74" s="401">
        <f>SUM(F75:F77)</f>
        <v>9552237616</v>
      </c>
      <c r="G74" s="378">
        <f>SUM(G75:G77)</f>
        <v>12287000000</v>
      </c>
      <c r="H74" s="402">
        <f>SUM(H75:H77)</f>
        <v>12210000000</v>
      </c>
      <c r="I74" s="387">
        <f aca="true" t="shared" si="4" ref="I74:I111">H74-D74</f>
        <v>0</v>
      </c>
      <c r="J74" s="754"/>
    </row>
    <row r="75" spans="1:10" ht="35.25" customHeight="1">
      <c r="A75" s="374"/>
      <c r="B75" s="375"/>
      <c r="C75" s="415" t="s">
        <v>522</v>
      </c>
      <c r="D75" s="781">
        <f>+'[4]2019년 본예산지출'!C130</f>
        <v>5500000000</v>
      </c>
      <c r="E75" s="781">
        <f>+'[4]월별지출(확인용'!O143</f>
        <v>0</v>
      </c>
      <c r="F75" s="787">
        <v>5500000000</v>
      </c>
      <c r="G75" s="772">
        <f>+E75+F75</f>
        <v>5500000000</v>
      </c>
      <c r="H75" s="302">
        <f>+D75</f>
        <v>5500000000</v>
      </c>
      <c r="I75" s="424">
        <f t="shared" si="4"/>
        <v>0</v>
      </c>
      <c r="J75" s="425" t="s">
        <v>894</v>
      </c>
    </row>
    <row r="76" spans="1:10" ht="34.5" customHeight="1">
      <c r="A76" s="374"/>
      <c r="B76" s="375"/>
      <c r="C76" s="415" t="s">
        <v>524</v>
      </c>
      <c r="D76" s="781">
        <v>0</v>
      </c>
      <c r="E76" s="781">
        <f>+'[4]월별지출(확인용'!O153</f>
        <v>0</v>
      </c>
      <c r="F76" s="787"/>
      <c r="G76" s="772"/>
      <c r="H76" s="302">
        <f>+IF(D76&gt;G76,D76,G76)</f>
        <v>0</v>
      </c>
      <c r="I76" s="424">
        <f t="shared" si="4"/>
        <v>0</v>
      </c>
      <c r="J76" s="416"/>
    </row>
    <row r="77" spans="1:13" ht="55.5" customHeight="1">
      <c r="A77" s="395"/>
      <c r="B77" s="396"/>
      <c r="C77" s="397" t="s">
        <v>895</v>
      </c>
      <c r="D77" s="765">
        <f>+'[4]2019년 본예산지출'!C135</f>
        <v>6710000000</v>
      </c>
      <c r="E77" s="781">
        <v>2734762384</v>
      </c>
      <c r="F77" s="787">
        <f>7252237616-3200000000</f>
        <v>4052237616</v>
      </c>
      <c r="G77" s="772">
        <f>+F77+E77</f>
        <v>6787000000</v>
      </c>
      <c r="H77" s="302">
        <f>+D77</f>
        <v>6710000000</v>
      </c>
      <c r="I77" s="398">
        <f t="shared" si="4"/>
        <v>0</v>
      </c>
      <c r="J77" s="426" t="s">
        <v>1072</v>
      </c>
      <c r="L77" s="603">
        <v>44594500000</v>
      </c>
      <c r="M77" s="603">
        <f>+L77-G77</f>
        <v>37807500000</v>
      </c>
    </row>
    <row r="78" spans="1:10" ht="34.5" customHeight="1">
      <c r="A78" s="366" t="s">
        <v>526</v>
      </c>
      <c r="B78" s="367"/>
      <c r="C78" s="368"/>
      <c r="D78" s="369">
        <f>D79</f>
        <v>5000000000</v>
      </c>
      <c r="E78" s="369">
        <f aca="true" t="shared" si="5" ref="E78:H79">E79</f>
        <v>0</v>
      </c>
      <c r="F78" s="369">
        <f t="shared" si="5"/>
        <v>2000000000</v>
      </c>
      <c r="G78" s="370">
        <f>G79</f>
        <v>2000000000</v>
      </c>
      <c r="H78" s="371">
        <f>H79</f>
        <v>7000000000</v>
      </c>
      <c r="I78" s="400">
        <f t="shared" si="4"/>
        <v>2000000000</v>
      </c>
      <c r="J78" s="373"/>
    </row>
    <row r="79" spans="1:10" ht="34.5" customHeight="1">
      <c r="A79" s="374"/>
      <c r="B79" s="375" t="s">
        <v>526</v>
      </c>
      <c r="C79" s="376"/>
      <c r="D79" s="401">
        <f>D80</f>
        <v>5000000000</v>
      </c>
      <c r="E79" s="401">
        <f t="shared" si="5"/>
        <v>0</v>
      </c>
      <c r="F79" s="401">
        <f t="shared" si="5"/>
        <v>2000000000</v>
      </c>
      <c r="G79" s="378">
        <f>G80</f>
        <v>2000000000</v>
      </c>
      <c r="H79" s="402">
        <f t="shared" si="5"/>
        <v>7000000000</v>
      </c>
      <c r="I79" s="387">
        <f t="shared" si="4"/>
        <v>2000000000</v>
      </c>
      <c r="J79" s="754"/>
    </row>
    <row r="80" spans="1:10" ht="34.5" customHeight="1">
      <c r="A80" s="395"/>
      <c r="B80" s="396"/>
      <c r="C80" s="397" t="s">
        <v>526</v>
      </c>
      <c r="D80" s="765">
        <f>+'[5]지출(확인용'!$E$156</f>
        <v>5000000000</v>
      </c>
      <c r="E80" s="765">
        <f>+'[4]월별지출(확인용'!O156</f>
        <v>0</v>
      </c>
      <c r="F80" s="787">
        <v>2000000000</v>
      </c>
      <c r="G80" s="772">
        <f>+E80+F80</f>
        <v>2000000000</v>
      </c>
      <c r="H80" s="302">
        <f>+IF(D80&gt;G80,D80,G80)+2000000000</f>
        <v>7000000000</v>
      </c>
      <c r="I80" s="398">
        <f t="shared" si="4"/>
        <v>2000000000</v>
      </c>
      <c r="J80" s="827" t="s">
        <v>1118</v>
      </c>
    </row>
    <row r="81" spans="1:10" ht="34.5" customHeight="1">
      <c r="A81" s="422" t="s">
        <v>527</v>
      </c>
      <c r="B81" s="367"/>
      <c r="C81" s="368"/>
      <c r="D81" s="369">
        <f>D88+D82+D85</f>
        <v>0</v>
      </c>
      <c r="E81" s="369">
        <f>E88+E82+E85</f>
        <v>224000000</v>
      </c>
      <c r="F81" s="369">
        <f>F88+F82+F85</f>
        <v>650000000</v>
      </c>
      <c r="G81" s="370">
        <f>G88+G82+G85</f>
        <v>874000000</v>
      </c>
      <c r="H81" s="371">
        <f>H88+H82+H85</f>
        <v>874000000</v>
      </c>
      <c r="I81" s="400">
        <f t="shared" si="4"/>
        <v>874000000</v>
      </c>
      <c r="J81" s="373"/>
    </row>
    <row r="82" spans="1:10" ht="34.5" customHeight="1">
      <c r="A82" s="423"/>
      <c r="B82" s="375" t="s">
        <v>528</v>
      </c>
      <c r="C82" s="376"/>
      <c r="D82" s="401">
        <f>D84+D83</f>
        <v>0</v>
      </c>
      <c r="E82" s="401">
        <f>E84+E83</f>
        <v>0</v>
      </c>
      <c r="F82" s="401">
        <f>F84+F83</f>
        <v>0</v>
      </c>
      <c r="G82" s="401">
        <f>G84+G83</f>
        <v>0</v>
      </c>
      <c r="H82" s="302">
        <f>+IF(D82&gt;G82,D82,G82)</f>
        <v>0</v>
      </c>
      <c r="I82" s="401">
        <f>I84+I83</f>
        <v>0</v>
      </c>
      <c r="J82" s="754"/>
    </row>
    <row r="83" spans="1:10" ht="34.5" customHeight="1">
      <c r="A83" s="423"/>
      <c r="B83" s="375"/>
      <c r="C83" s="376" t="s">
        <v>896</v>
      </c>
      <c r="D83" s="401">
        <v>0</v>
      </c>
      <c r="E83" s="787">
        <f>66775000000-66775000000</f>
        <v>0</v>
      </c>
      <c r="F83" s="787">
        <v>0</v>
      </c>
      <c r="G83" s="772">
        <f>+E83+F83</f>
        <v>0</v>
      </c>
      <c r="H83" s="302">
        <f>+IF(D83&gt;G83,D83,G83)</f>
        <v>0</v>
      </c>
      <c r="I83" s="407">
        <f>H83-D83</f>
        <v>0</v>
      </c>
      <c r="J83" s="754"/>
    </row>
    <row r="84" spans="1:16" s="603" customFormat="1" ht="34.5" customHeight="1">
      <c r="A84" s="423"/>
      <c r="B84" s="375"/>
      <c r="C84" s="376" t="s">
        <v>897</v>
      </c>
      <c r="D84" s="786">
        <v>0</v>
      </c>
      <c r="E84" s="786">
        <v>0</v>
      </c>
      <c r="F84" s="401">
        <v>0</v>
      </c>
      <c r="G84" s="772">
        <f>+E84+F84</f>
        <v>0</v>
      </c>
      <c r="H84" s="402">
        <f>+IF(D84&gt;G84,D84,G84)</f>
        <v>0</v>
      </c>
      <c r="I84" s="387">
        <f t="shared" si="4"/>
        <v>0</v>
      </c>
      <c r="J84" s="760"/>
      <c r="K84" s="355"/>
      <c r="N84" s="620"/>
      <c r="O84" s="620"/>
      <c r="P84" s="620"/>
    </row>
    <row r="85" spans="1:16" s="603" customFormat="1" ht="34.5" customHeight="1">
      <c r="A85" s="423"/>
      <c r="B85" s="394" t="s">
        <v>529</v>
      </c>
      <c r="C85" s="376"/>
      <c r="D85" s="401">
        <f>SUM(D86:D87)</f>
        <v>0</v>
      </c>
      <c r="E85" s="401">
        <f>SUM(E86:E87)</f>
        <v>0</v>
      </c>
      <c r="F85" s="401">
        <f>SUM(F86:F87)</f>
        <v>0</v>
      </c>
      <c r="G85" s="772">
        <f>SUM(G86:G87)</f>
        <v>0</v>
      </c>
      <c r="H85" s="402">
        <f>SUM(H86:H87)</f>
        <v>0</v>
      </c>
      <c r="I85" s="428">
        <f t="shared" si="4"/>
        <v>0</v>
      </c>
      <c r="J85" s="758"/>
      <c r="K85" s="355"/>
      <c r="N85" s="620"/>
      <c r="O85" s="620"/>
      <c r="P85" s="620"/>
    </row>
    <row r="86" spans="1:16" s="603" customFormat="1" ht="34.5" customHeight="1">
      <c r="A86" s="423"/>
      <c r="B86" s="375"/>
      <c r="C86" s="429" t="s">
        <v>530</v>
      </c>
      <c r="D86" s="401">
        <v>0</v>
      </c>
      <c r="E86" s="401">
        <f>+'[4]월별지출(확인용'!O161</f>
        <v>0</v>
      </c>
      <c r="F86" s="787">
        <f>+G86-E86</f>
        <v>0</v>
      </c>
      <c r="G86" s="772">
        <f>+ROUNDUP(E86+('[4]월별지출(확인용'!S161),-6)</f>
        <v>0</v>
      </c>
      <c r="H86" s="302">
        <f>+IF(D86&gt;G86,D86,G86)</f>
        <v>0</v>
      </c>
      <c r="I86" s="407">
        <f t="shared" si="4"/>
        <v>0</v>
      </c>
      <c r="J86" s="758"/>
      <c r="K86" s="355"/>
      <c r="N86" s="620"/>
      <c r="O86" s="620"/>
      <c r="P86" s="620"/>
    </row>
    <row r="87" spans="1:16" s="603" customFormat="1" ht="34.5" customHeight="1">
      <c r="A87" s="423"/>
      <c r="B87" s="375"/>
      <c r="C87" s="376" t="s">
        <v>531</v>
      </c>
      <c r="D87" s="786">
        <v>0</v>
      </c>
      <c r="E87" s="786">
        <f>+'[4]월별지출(확인용'!O162</f>
        <v>0</v>
      </c>
      <c r="F87" s="787">
        <f>+G87-E87</f>
        <v>0</v>
      </c>
      <c r="G87" s="772">
        <f>+ROUNDUP(E87+('[4]월별지출(확인용'!S162),-6)</f>
        <v>0</v>
      </c>
      <c r="H87" s="302">
        <f>+IF(D87&gt;G87,D87,G87)</f>
        <v>0</v>
      </c>
      <c r="I87" s="407">
        <f t="shared" si="4"/>
        <v>0</v>
      </c>
      <c r="J87" s="758"/>
      <c r="K87" s="355"/>
      <c r="N87" s="620"/>
      <c r="O87" s="620"/>
      <c r="P87" s="620"/>
    </row>
    <row r="88" spans="1:16" s="603" customFormat="1" ht="34.5" customHeight="1">
      <c r="A88" s="374"/>
      <c r="B88" s="394" t="s">
        <v>532</v>
      </c>
      <c r="C88" s="376"/>
      <c r="D88" s="401">
        <f>D89</f>
        <v>0</v>
      </c>
      <c r="E88" s="401">
        <f>E89</f>
        <v>224000000</v>
      </c>
      <c r="F88" s="401">
        <f>F89</f>
        <v>650000000</v>
      </c>
      <c r="G88" s="772">
        <f>G89</f>
        <v>874000000</v>
      </c>
      <c r="H88" s="402">
        <f>H89</f>
        <v>874000000</v>
      </c>
      <c r="I88" s="387">
        <f t="shared" si="4"/>
        <v>874000000</v>
      </c>
      <c r="J88" s="758"/>
      <c r="K88" s="355"/>
      <c r="N88" s="620"/>
      <c r="O88" s="620"/>
      <c r="P88" s="620"/>
    </row>
    <row r="89" spans="1:16" s="603" customFormat="1" ht="34.5" customHeight="1">
      <c r="A89" s="395"/>
      <c r="B89" s="396"/>
      <c r="C89" s="417" t="s">
        <v>533</v>
      </c>
      <c r="D89" s="789">
        <v>0</v>
      </c>
      <c r="E89" s="789">
        <f>222000000+2000000</f>
        <v>224000000</v>
      </c>
      <c r="F89" s="787">
        <v>650000000</v>
      </c>
      <c r="G89" s="772">
        <f>+E89+F89</f>
        <v>874000000</v>
      </c>
      <c r="H89" s="302">
        <f>+IF(D89&gt;G89,D89,G89)</f>
        <v>874000000</v>
      </c>
      <c r="I89" s="398">
        <f t="shared" si="4"/>
        <v>874000000</v>
      </c>
      <c r="J89" s="399"/>
      <c r="K89" s="355"/>
      <c r="N89" s="620"/>
      <c r="O89" s="620"/>
      <c r="P89" s="620"/>
    </row>
    <row r="90" spans="1:16" s="603" customFormat="1" ht="34.5" customHeight="1">
      <c r="A90" s="422" t="s">
        <v>898</v>
      </c>
      <c r="B90" s="367"/>
      <c r="C90" s="368"/>
      <c r="D90" s="369">
        <f>D91+D101</f>
        <v>294001000000</v>
      </c>
      <c r="E90" s="369">
        <f>E91+E101</f>
        <v>87766408451</v>
      </c>
      <c r="F90" s="369">
        <f>F91+F101</f>
        <v>95541591549</v>
      </c>
      <c r="G90" s="370">
        <f>G91+G101</f>
        <v>183308000000</v>
      </c>
      <c r="H90" s="371">
        <f>H91+H101</f>
        <v>186508000000</v>
      </c>
      <c r="I90" s="400">
        <f t="shared" si="4"/>
        <v>-107493000000</v>
      </c>
      <c r="J90" s="373"/>
      <c r="K90" s="355"/>
      <c r="N90" s="620"/>
      <c r="O90" s="620"/>
      <c r="P90" s="620"/>
    </row>
    <row r="91" spans="1:16" s="603" customFormat="1" ht="34.5" customHeight="1">
      <c r="A91" s="374"/>
      <c r="B91" s="421" t="s">
        <v>535</v>
      </c>
      <c r="C91" s="376"/>
      <c r="D91" s="401">
        <f>SUM(D92:D100)</f>
        <v>293801000000</v>
      </c>
      <c r="E91" s="401">
        <f>SUM(E92:E100)</f>
        <v>87491408451</v>
      </c>
      <c r="F91" s="401">
        <f>SUM(F92:F100)</f>
        <v>95541591549</v>
      </c>
      <c r="G91" s="378">
        <f>SUM(G92:G100)</f>
        <v>183033000000</v>
      </c>
      <c r="H91" s="402">
        <f>SUM(H92:H100)</f>
        <v>186233000000</v>
      </c>
      <c r="I91" s="387">
        <f t="shared" si="4"/>
        <v>-107568000000</v>
      </c>
      <c r="J91" s="754"/>
      <c r="K91" s="355"/>
      <c r="N91" s="620"/>
      <c r="O91" s="620"/>
      <c r="P91" s="620"/>
    </row>
    <row r="92" spans="1:16" s="603" customFormat="1" ht="34.5" customHeight="1">
      <c r="A92" s="374"/>
      <c r="B92" s="375"/>
      <c r="C92" s="409" t="s">
        <v>536</v>
      </c>
      <c r="D92" s="785">
        <v>0</v>
      </c>
      <c r="E92" s="804">
        <f>41788381+28194836</f>
        <v>69983217</v>
      </c>
      <c r="F92" s="787">
        <f>+'20년 추경지출(대전)'!F91+'20년 추경지출(의정부)'!F91</f>
        <v>72016783</v>
      </c>
      <c r="G92" s="772">
        <f>+'20년 추경지출(대전)'!G91+'20년 추경지출(의정부)'!G91</f>
        <v>142000000</v>
      </c>
      <c r="H92" s="302">
        <f aca="true" t="shared" si="6" ref="H92:H99">+IF(D92&gt;G92,D92,G92)</f>
        <v>142000000</v>
      </c>
      <c r="I92" s="407">
        <f t="shared" si="4"/>
        <v>142000000</v>
      </c>
      <c r="J92" s="323" t="s">
        <v>899</v>
      </c>
      <c r="K92" s="355"/>
      <c r="N92" s="620"/>
      <c r="O92" s="620"/>
      <c r="P92" s="620"/>
    </row>
    <row r="93" spans="1:16" s="603" customFormat="1" ht="34.5" customHeight="1">
      <c r="A93" s="395"/>
      <c r="B93" s="396"/>
      <c r="C93" s="417" t="s">
        <v>537</v>
      </c>
      <c r="D93" s="789">
        <f>+'[4]2019년 본예산지출'!C154</f>
        <v>1200000000</v>
      </c>
      <c r="E93" s="789">
        <f>1537182115+'20년 추경지출(의정부)'!E92</f>
        <v>60075157392</v>
      </c>
      <c r="F93" s="791">
        <f>+'20년 추경지출(대전)'!F92+'20년 추경지출(의정부)'!F92</f>
        <v>37549179272</v>
      </c>
      <c r="G93" s="772">
        <f>+'20년 추경지출(대전)'!G92+'20년 추경지출(의정부)'!G92</f>
        <v>97624336664</v>
      </c>
      <c r="H93" s="413">
        <f>+IF(D93&gt;G93,D93,G93)</f>
        <v>97624336664</v>
      </c>
      <c r="I93" s="398">
        <f t="shared" si="4"/>
        <v>96424336664</v>
      </c>
      <c r="J93" s="431" t="s">
        <v>900</v>
      </c>
      <c r="K93" s="432"/>
      <c r="N93" s="620"/>
      <c r="O93" s="620"/>
      <c r="P93" s="620"/>
    </row>
    <row r="94" spans="1:16" s="603" customFormat="1" ht="34.5" customHeight="1">
      <c r="A94" s="374"/>
      <c r="B94" s="375"/>
      <c r="C94" s="376" t="s">
        <v>538</v>
      </c>
      <c r="D94" s="786">
        <v>0</v>
      </c>
      <c r="E94" s="786">
        <f>+'20년 추경지출(대전)'!E93+'20년 추경지출(의정부)'!E93</f>
        <v>79013230</v>
      </c>
      <c r="F94" s="786">
        <v>1000000000</v>
      </c>
      <c r="G94" s="772">
        <f>+'20년 추경지출(대전)'!G93+'20년 추경지출(의정부)'!G93</f>
        <v>1079013230</v>
      </c>
      <c r="H94" s="402">
        <f t="shared" si="6"/>
        <v>1079013230</v>
      </c>
      <c r="I94" s="387">
        <f t="shared" si="4"/>
        <v>1079013230</v>
      </c>
      <c r="J94" s="754"/>
      <c r="K94" s="355"/>
      <c r="N94" s="620"/>
      <c r="O94" s="620"/>
      <c r="P94" s="620"/>
    </row>
    <row r="95" spans="1:16" s="603" customFormat="1" ht="39.75" customHeight="1">
      <c r="A95" s="374"/>
      <c r="B95" s="375"/>
      <c r="C95" s="376" t="s">
        <v>901</v>
      </c>
      <c r="D95" s="786">
        <f>+'[4]2019년 본예산지출'!C155+150000000000</f>
        <v>156000000000</v>
      </c>
      <c r="E95" s="786">
        <f>+'20년 추경지출(대전)'!E94+'20년 추경지출(의정부)'!E94</f>
        <v>5497065810</v>
      </c>
      <c r="F95" s="787">
        <f>+'20년 추경지출(대전)'!F94+'20년 추경지출(의정부)'!F94</f>
        <v>50502934190</v>
      </c>
      <c r="G95" s="772">
        <f>+'20년 추경지출(대전)'!G94+'20년 추경지출(의정부)'!G94</f>
        <v>56000000000</v>
      </c>
      <c r="H95" s="402">
        <f>+G95</f>
        <v>56000000000</v>
      </c>
      <c r="I95" s="407">
        <f t="shared" si="4"/>
        <v>-100000000000</v>
      </c>
      <c r="J95" s="759"/>
      <c r="K95" s="390"/>
      <c r="N95" s="620"/>
      <c r="O95" s="620"/>
      <c r="P95" s="620"/>
    </row>
    <row r="96" spans="1:16" s="603" customFormat="1" ht="34.5" customHeight="1">
      <c r="A96" s="374"/>
      <c r="B96" s="375"/>
      <c r="C96" s="409" t="s">
        <v>540</v>
      </c>
      <c r="D96" s="785">
        <f>+'[4]2019년 본예산지출'!C158</f>
        <v>5100000000</v>
      </c>
      <c r="E96" s="785">
        <f>+'20년 추경지출(대전)'!E95+'20년 추경지출(의정부)'!E95</f>
        <v>20140724298</v>
      </c>
      <c r="F96" s="787">
        <f>1642647600+2000000000</f>
        <v>3642647600</v>
      </c>
      <c r="G96" s="772">
        <f>+'20년 추경지출(대전)'!G95+'20년 추경지출(의정부)'!G95</f>
        <v>23783371898</v>
      </c>
      <c r="H96" s="482">
        <f>5100000000+21883371898</f>
        <v>26983371898</v>
      </c>
      <c r="I96" s="407">
        <f t="shared" si="4"/>
        <v>21883371898</v>
      </c>
      <c r="J96" s="433" t="s">
        <v>902</v>
      </c>
      <c r="K96" s="390"/>
      <c r="N96" s="620"/>
      <c r="O96" s="620"/>
      <c r="P96" s="620"/>
    </row>
    <row r="97" spans="1:16" s="603" customFormat="1" ht="34.5" customHeight="1">
      <c r="A97" s="374"/>
      <c r="B97" s="375"/>
      <c r="C97" s="376" t="s">
        <v>541</v>
      </c>
      <c r="D97" s="786">
        <f>+'[4]2019년 본예산지출'!C162</f>
        <v>0</v>
      </c>
      <c r="E97" s="786">
        <v>203278208</v>
      </c>
      <c r="F97" s="787">
        <v>500000000</v>
      </c>
      <c r="G97" s="772">
        <f>+'20년 추경지출(대전)'!G96+'20년 추경지출(의정부)'!G96</f>
        <v>703278208</v>
      </c>
      <c r="H97" s="302">
        <f t="shared" si="6"/>
        <v>703278208</v>
      </c>
      <c r="I97" s="407">
        <f t="shared" si="4"/>
        <v>703278208</v>
      </c>
      <c r="J97" s="759"/>
      <c r="K97" s="355"/>
      <c r="N97" s="620"/>
      <c r="O97" s="620"/>
      <c r="P97" s="620"/>
    </row>
    <row r="98" spans="1:16" s="603" customFormat="1" ht="34.5" customHeight="1">
      <c r="A98" s="374"/>
      <c r="B98" s="375"/>
      <c r="C98" s="376" t="s">
        <v>903</v>
      </c>
      <c r="D98" s="790">
        <v>0</v>
      </c>
      <c r="E98" s="790">
        <v>0</v>
      </c>
      <c r="F98" s="787">
        <v>1000000000</v>
      </c>
      <c r="G98" s="772">
        <f>+'20년 추경지출(대전)'!G97+'20년 추경지출(의정부)'!G97</f>
        <v>1000000000</v>
      </c>
      <c r="H98" s="302">
        <f t="shared" si="6"/>
        <v>1000000000</v>
      </c>
      <c r="I98" s="407">
        <f t="shared" si="4"/>
        <v>1000000000</v>
      </c>
      <c r="J98" s="759"/>
      <c r="K98" s="355"/>
      <c r="N98" s="620"/>
      <c r="O98" s="620"/>
      <c r="P98" s="620"/>
    </row>
    <row r="99" spans="1:16" s="603" customFormat="1" ht="34.5" customHeight="1">
      <c r="A99" s="374"/>
      <c r="B99" s="375"/>
      <c r="C99" s="391" t="s">
        <v>904</v>
      </c>
      <c r="D99" s="788">
        <f>+'[4]2019년 본예산지출'!C163</f>
        <v>1000000</v>
      </c>
      <c r="E99" s="788">
        <v>0</v>
      </c>
      <c r="F99" s="787">
        <f>1000000+500000000</f>
        <v>501000000</v>
      </c>
      <c r="G99" s="772">
        <f>+'20년 추경지출(대전)'!G98+'20년 추경지출(의정부)'!G98</f>
        <v>501000000</v>
      </c>
      <c r="H99" s="302">
        <f t="shared" si="6"/>
        <v>501000000</v>
      </c>
      <c r="I99" s="407">
        <f t="shared" si="4"/>
        <v>500000000</v>
      </c>
      <c r="J99" s="758" t="s">
        <v>905</v>
      </c>
      <c r="K99" s="386"/>
      <c r="N99" s="620"/>
      <c r="O99" s="620"/>
      <c r="P99" s="620"/>
    </row>
    <row r="100" spans="1:16" s="355" customFormat="1" ht="54" customHeight="1">
      <c r="A100" s="374"/>
      <c r="B100" s="420"/>
      <c r="C100" s="391" t="s">
        <v>545</v>
      </c>
      <c r="D100" s="788">
        <f>+'[4]2019년 본예산지출'!C165+130000000000</f>
        <v>131500000000</v>
      </c>
      <c r="E100" s="788">
        <v>1426186296</v>
      </c>
      <c r="F100" s="787">
        <v>773813704</v>
      </c>
      <c r="G100" s="772">
        <f>+'20년 추경지출(대전)'!G99+'20년 추경지출(의정부)'!G99</f>
        <v>2200000000</v>
      </c>
      <c r="H100" s="302">
        <f>+G100</f>
        <v>2200000000</v>
      </c>
      <c r="I100" s="387">
        <f t="shared" si="4"/>
        <v>-129300000000</v>
      </c>
      <c r="J100" s="760" t="s">
        <v>906</v>
      </c>
      <c r="L100" s="603"/>
      <c r="M100" s="603"/>
      <c r="N100" s="620"/>
      <c r="O100" s="620"/>
      <c r="P100" s="620"/>
    </row>
    <row r="101" spans="1:16" s="355" customFormat="1" ht="34.5" customHeight="1">
      <c r="A101" s="435"/>
      <c r="B101" s="421" t="s">
        <v>546</v>
      </c>
      <c r="C101" s="436"/>
      <c r="D101" s="437">
        <f>D102</f>
        <v>200000000</v>
      </c>
      <c r="E101" s="437">
        <f>SUM(E102)</f>
        <v>275000000</v>
      </c>
      <c r="F101" s="437">
        <f>SUM(F102)</f>
        <v>0</v>
      </c>
      <c r="G101" s="437">
        <f>SUM(G102)</f>
        <v>275000000</v>
      </c>
      <c r="H101" s="438">
        <f>H102</f>
        <v>275000000</v>
      </c>
      <c r="I101" s="439">
        <f t="shared" si="4"/>
        <v>75000000</v>
      </c>
      <c r="J101" s="754"/>
      <c r="L101" s="603"/>
      <c r="M101" s="603"/>
      <c r="N101" s="620"/>
      <c r="O101" s="620"/>
      <c r="P101" s="620"/>
    </row>
    <row r="102" spans="1:16" s="355" customFormat="1" ht="34.5" customHeight="1">
      <c r="A102" s="359"/>
      <c r="B102" s="343"/>
      <c r="C102" s="440" t="s">
        <v>547</v>
      </c>
      <c r="D102" s="441">
        <v>200000000</v>
      </c>
      <c r="E102" s="441">
        <v>275000000</v>
      </c>
      <c r="F102" s="787"/>
      <c r="G102" s="772">
        <f>+E102+F102</f>
        <v>275000000</v>
      </c>
      <c r="H102" s="302">
        <f>+IF(D102&gt;G102,D102,G102)</f>
        <v>275000000</v>
      </c>
      <c r="I102" s="442">
        <f t="shared" si="4"/>
        <v>75000000</v>
      </c>
      <c r="J102" s="399"/>
      <c r="L102" s="603"/>
      <c r="M102" s="603"/>
      <c r="N102" s="620"/>
      <c r="O102" s="620"/>
      <c r="P102" s="620"/>
    </row>
    <row r="103" spans="1:16" s="355" customFormat="1" ht="34.5" customHeight="1">
      <c r="A103" s="422" t="s">
        <v>548</v>
      </c>
      <c r="B103" s="367"/>
      <c r="C103" s="368"/>
      <c r="D103" s="369">
        <f>D104+D107</f>
        <v>0</v>
      </c>
      <c r="E103" s="369">
        <f>E104+E107</f>
        <v>430000000</v>
      </c>
      <c r="F103" s="369">
        <f>F104+F107</f>
        <v>0</v>
      </c>
      <c r="G103" s="370">
        <f>SUM(E103:F103)</f>
        <v>430000000</v>
      </c>
      <c r="H103" s="371">
        <f>H104+H107</f>
        <v>430000000</v>
      </c>
      <c r="I103" s="400">
        <f t="shared" si="4"/>
        <v>430000000</v>
      </c>
      <c r="J103" s="373"/>
      <c r="L103" s="603"/>
      <c r="M103" s="603"/>
      <c r="N103" s="620"/>
      <c r="O103" s="620"/>
      <c r="P103" s="620"/>
    </row>
    <row r="104" spans="1:16" s="355" customFormat="1" ht="34.5" customHeight="1">
      <c r="A104" s="423"/>
      <c r="B104" s="375" t="s">
        <v>549</v>
      </c>
      <c r="C104" s="376"/>
      <c r="D104" s="401">
        <f>SUM(D105:D106)</f>
        <v>0</v>
      </c>
      <c r="E104" s="401">
        <f>SUM(E105:E106)</f>
        <v>0</v>
      </c>
      <c r="F104" s="401">
        <f>SUM(F105:F106)</f>
        <v>0</v>
      </c>
      <c r="G104" s="378">
        <f>SUM(G105:G106)</f>
        <v>0</v>
      </c>
      <c r="H104" s="402">
        <f>SUM(H105:H106)</f>
        <v>0</v>
      </c>
      <c r="I104" s="387">
        <f t="shared" si="4"/>
        <v>0</v>
      </c>
      <c r="J104" s="754"/>
      <c r="L104" s="603"/>
      <c r="M104" s="603"/>
      <c r="N104" s="620"/>
      <c r="O104" s="620"/>
      <c r="P104" s="620"/>
    </row>
    <row r="105" spans="1:16" s="355" customFormat="1" ht="34.5" customHeight="1">
      <c r="A105" s="423"/>
      <c r="B105" s="375"/>
      <c r="C105" s="376" t="s">
        <v>549</v>
      </c>
      <c r="D105" s="401">
        <v>0</v>
      </c>
      <c r="E105" s="401">
        <f>+'[4]월별지출(확인용'!O200</f>
        <v>0</v>
      </c>
      <c r="F105" s="787">
        <f>+G105-E105</f>
        <v>0</v>
      </c>
      <c r="G105" s="772">
        <f>+ROUNDUP(E105+('[4]월별지출(확인용'!S200),-6)</f>
        <v>0</v>
      </c>
      <c r="H105" s="302">
        <f>+IF(D105&gt;G105,D105,G105)</f>
        <v>0</v>
      </c>
      <c r="I105" s="387">
        <f t="shared" si="4"/>
        <v>0</v>
      </c>
      <c r="J105" s="758"/>
      <c r="L105" s="603"/>
      <c r="M105" s="603"/>
      <c r="N105" s="620"/>
      <c r="O105" s="620"/>
      <c r="P105" s="620"/>
    </row>
    <row r="106" spans="1:16" s="355" customFormat="1" ht="34.5" customHeight="1">
      <c r="A106" s="423"/>
      <c r="B106" s="375"/>
      <c r="C106" s="376" t="s">
        <v>550</v>
      </c>
      <c r="D106" s="786">
        <v>0</v>
      </c>
      <c r="E106" s="786">
        <f>+'[4]월별지출(확인용'!O201</f>
        <v>0</v>
      </c>
      <c r="F106" s="787">
        <f>+G106-E106</f>
        <v>0</v>
      </c>
      <c r="G106" s="772">
        <f>+ROUNDUP(E106+('[4]월별지출(확인용'!S201),-6)</f>
        <v>0</v>
      </c>
      <c r="H106" s="302">
        <f>+IF(D106&gt;G106,D106,G106)</f>
        <v>0</v>
      </c>
      <c r="I106" s="407">
        <f t="shared" si="4"/>
        <v>0</v>
      </c>
      <c r="J106" s="758"/>
      <c r="L106" s="603"/>
      <c r="M106" s="603"/>
      <c r="N106" s="620"/>
      <c r="O106" s="620"/>
      <c r="P106" s="620"/>
    </row>
    <row r="107" spans="1:16" s="355" customFormat="1" ht="34.5" customHeight="1">
      <c r="A107" s="423"/>
      <c r="B107" s="394" t="s">
        <v>551</v>
      </c>
      <c r="C107" s="376"/>
      <c r="D107" s="401">
        <f>SUM(D108:D110)</f>
        <v>0</v>
      </c>
      <c r="E107" s="401">
        <f>SUM(E108:E110)</f>
        <v>430000000</v>
      </c>
      <c r="F107" s="401">
        <f>SUM(F108:F110)</f>
        <v>0</v>
      </c>
      <c r="G107" s="401">
        <f>SUM(G108:G110)</f>
        <v>430000000</v>
      </c>
      <c r="H107" s="402">
        <f>SUM(H108:H110)</f>
        <v>430000000</v>
      </c>
      <c r="I107" s="428">
        <f t="shared" si="4"/>
        <v>430000000</v>
      </c>
      <c r="J107" s="758"/>
      <c r="L107" s="603"/>
      <c r="M107" s="603"/>
      <c r="N107" s="620"/>
      <c r="O107" s="620"/>
      <c r="P107" s="620"/>
    </row>
    <row r="108" spans="1:16" s="355" customFormat="1" ht="34.5" customHeight="1">
      <c r="A108" s="423"/>
      <c r="B108" s="375"/>
      <c r="C108" s="429" t="s">
        <v>552</v>
      </c>
      <c r="D108" s="401">
        <v>0</v>
      </c>
      <c r="E108" s="401">
        <v>430000000</v>
      </c>
      <c r="F108" s="787">
        <f>+G108-E108</f>
        <v>0</v>
      </c>
      <c r="G108" s="772">
        <f>+ROUNDUP(E108+('[4]월별지출(확인용'!S203),-6)</f>
        <v>430000000</v>
      </c>
      <c r="H108" s="302">
        <f>+IF(D108&gt;G108,D108,G108)</f>
        <v>430000000</v>
      </c>
      <c r="I108" s="407">
        <f t="shared" si="4"/>
        <v>430000000</v>
      </c>
      <c r="J108" s="760" t="s">
        <v>907</v>
      </c>
      <c r="L108" s="603"/>
      <c r="M108" s="603"/>
      <c r="N108" s="620"/>
      <c r="O108" s="620"/>
      <c r="P108" s="620"/>
    </row>
    <row r="109" spans="1:16" s="355" customFormat="1" ht="34.5" customHeight="1">
      <c r="A109" s="423"/>
      <c r="B109" s="375"/>
      <c r="C109" s="429" t="s">
        <v>553</v>
      </c>
      <c r="D109" s="401">
        <v>0</v>
      </c>
      <c r="E109" s="401">
        <f>+'[4]월별지출(확인용'!O204</f>
        <v>0</v>
      </c>
      <c r="F109" s="787">
        <f>+G109-E109</f>
        <v>0</v>
      </c>
      <c r="G109" s="772">
        <f>+ROUNDUP(E109+('[4]월별지출(확인용'!S204),-6)</f>
        <v>0</v>
      </c>
      <c r="H109" s="302">
        <f>+IF(D109&gt;G109,D109,G109)</f>
        <v>0</v>
      </c>
      <c r="I109" s="407">
        <f t="shared" si="4"/>
        <v>0</v>
      </c>
      <c r="J109" s="758"/>
      <c r="L109" s="603"/>
      <c r="M109" s="603"/>
      <c r="N109" s="620"/>
      <c r="O109" s="620"/>
      <c r="P109" s="620"/>
    </row>
    <row r="110" spans="1:16" s="355" customFormat="1" ht="34.5" customHeight="1">
      <c r="A110" s="292"/>
      <c r="B110" s="277"/>
      <c r="C110" s="443" t="s">
        <v>551</v>
      </c>
      <c r="D110" s="444">
        <v>0</v>
      </c>
      <c r="E110" s="444">
        <f>+'[4]월별지출(확인용'!O205</f>
        <v>0</v>
      </c>
      <c r="F110" s="787">
        <f>+G110-E110</f>
        <v>0</v>
      </c>
      <c r="G110" s="772">
        <f>+ROUNDUP(E110+('[4]월별지출(확인용'!S205),-6)</f>
        <v>0</v>
      </c>
      <c r="H110" s="302">
        <f>+IF(D110&gt;G110,D110,G110)</f>
        <v>0</v>
      </c>
      <c r="I110" s="445">
        <f t="shared" si="4"/>
        <v>0</v>
      </c>
      <c r="J110" s="416"/>
      <c r="L110" s="603"/>
      <c r="M110" s="603"/>
      <c r="N110" s="620"/>
      <c r="O110" s="620"/>
      <c r="P110" s="620"/>
    </row>
    <row r="111" spans="1:16" s="355" customFormat="1" ht="37.5" customHeight="1">
      <c r="A111" s="422" t="s">
        <v>554</v>
      </c>
      <c r="B111" s="367"/>
      <c r="C111" s="368"/>
      <c r="D111" s="369">
        <f>+'[4]2019년 본예산지출'!C181-95707000000</f>
        <v>7880999999.540039</v>
      </c>
      <c r="E111" s="369"/>
      <c r="F111" s="369"/>
      <c r="G111" s="369"/>
      <c r="H111" s="369">
        <f>'20년 추경수입 (대전+의정부)'!H6-H7-H25-H62-H65-H73-H78-H70-H81-H90-H103</f>
        <v>68567793801.54004</v>
      </c>
      <c r="I111" s="400">
        <f t="shared" si="4"/>
        <v>60686793802</v>
      </c>
      <c r="J111" s="373"/>
      <c r="L111" s="603"/>
      <c r="M111" s="603"/>
      <c r="N111" s="620"/>
      <c r="O111" s="620"/>
      <c r="P111" s="620"/>
    </row>
    <row r="112" spans="1:16" s="355" customFormat="1" ht="34.5" customHeight="1" hidden="1">
      <c r="A112" s="374"/>
      <c r="B112" s="375" t="s">
        <v>555</v>
      </c>
      <c r="C112" s="376"/>
      <c r="D112" s="369">
        <f>'[6]수입'!D6-D8-D26-D63-D66-D74-D79-D71-D82-D91-D104</f>
        <v>-132144000000</v>
      </c>
      <c r="E112" s="446"/>
      <c r="F112" s="446"/>
      <c r="G112" s="447">
        <f aca="true" t="shared" si="7" ref="G112:G119">SUM(F112:F112)</f>
        <v>0</v>
      </c>
      <c r="H112" s="446"/>
      <c r="I112" s="447"/>
      <c r="J112" s="754"/>
      <c r="L112" s="603"/>
      <c r="M112" s="603"/>
      <c r="N112" s="620"/>
      <c r="O112" s="620"/>
      <c r="P112" s="620"/>
    </row>
    <row r="113" spans="1:16" s="355" customFormat="1" ht="34.5" customHeight="1" hidden="1">
      <c r="A113" s="374"/>
      <c r="B113" s="375"/>
      <c r="C113" s="391" t="s">
        <v>556</v>
      </c>
      <c r="D113" s="369">
        <f>'[6]수입'!D7-D9-D27-D64-D67-D75-D80-D72-D84-D92-D105</f>
        <v>193455000000</v>
      </c>
      <c r="E113" s="448"/>
      <c r="F113" s="448"/>
      <c r="G113" s="449">
        <f t="shared" si="7"/>
        <v>0</v>
      </c>
      <c r="H113" s="448"/>
      <c r="I113" s="449"/>
      <c r="J113" s="758"/>
      <c r="L113" s="603"/>
      <c r="M113" s="603"/>
      <c r="N113" s="620"/>
      <c r="O113" s="620"/>
      <c r="P113" s="620"/>
    </row>
    <row r="114" spans="1:16" s="355" customFormat="1" ht="34.5" customHeight="1" hidden="1">
      <c r="A114" s="374"/>
      <c r="B114" s="375"/>
      <c r="C114" s="391" t="s">
        <v>557</v>
      </c>
      <c r="D114" s="369">
        <f>'[6]수입'!D8-D10-D28-D65-D68-D76-D81-D73-D85-D93-D106</f>
        <v>113883000000</v>
      </c>
      <c r="E114" s="448"/>
      <c r="F114" s="448"/>
      <c r="G114" s="449">
        <f t="shared" si="7"/>
        <v>0</v>
      </c>
      <c r="H114" s="448"/>
      <c r="I114" s="449"/>
      <c r="J114" s="758"/>
      <c r="L114" s="603"/>
      <c r="M114" s="603"/>
      <c r="N114" s="620"/>
      <c r="O114" s="620"/>
      <c r="P114" s="620"/>
    </row>
    <row r="115" spans="1:16" s="355" customFormat="1" ht="34.5" customHeight="1" hidden="1">
      <c r="A115" s="374"/>
      <c r="B115" s="394" t="s">
        <v>558</v>
      </c>
      <c r="C115" s="391"/>
      <c r="D115" s="369">
        <f>'[6]수입'!D9-D11-D29-D66-D69-D77-D82-D74-D86-D94-D107</f>
        <v>31720000000</v>
      </c>
      <c r="E115" s="448"/>
      <c r="F115" s="448"/>
      <c r="G115" s="449">
        <f t="shared" si="7"/>
        <v>0</v>
      </c>
      <c r="H115" s="448"/>
      <c r="I115" s="449"/>
      <c r="J115" s="758"/>
      <c r="L115" s="603"/>
      <c r="M115" s="603"/>
      <c r="N115" s="620"/>
      <c r="O115" s="620"/>
      <c r="P115" s="620"/>
    </row>
    <row r="116" spans="1:16" s="355" customFormat="1" ht="34.5" customHeight="1" hidden="1">
      <c r="A116" s="374"/>
      <c r="B116" s="375"/>
      <c r="C116" s="391" t="s">
        <v>559</v>
      </c>
      <c r="D116" s="369">
        <f>'[6]수입'!D10-D12-D30-D67-D70-D78-D84-D75-D87-D95-D108</f>
        <v>-161750000000</v>
      </c>
      <c r="E116" s="448"/>
      <c r="F116" s="448"/>
      <c r="G116" s="449">
        <f t="shared" si="7"/>
        <v>0</v>
      </c>
      <c r="H116" s="448"/>
      <c r="I116" s="449"/>
      <c r="J116" s="758"/>
      <c r="L116" s="603"/>
      <c r="M116" s="603"/>
      <c r="N116" s="620"/>
      <c r="O116" s="620"/>
      <c r="P116" s="620"/>
    </row>
    <row r="117" spans="1:16" s="355" customFormat="1" ht="34.5" customHeight="1" hidden="1">
      <c r="A117" s="374"/>
      <c r="B117" s="375"/>
      <c r="C117" s="391" t="s">
        <v>560</v>
      </c>
      <c r="D117" s="369">
        <f>'[6]수입'!D11-D13-D31-D68-D71-D79-D85-D76-D88-D96-D109</f>
        <v>-20876000000</v>
      </c>
      <c r="E117" s="448"/>
      <c r="F117" s="448"/>
      <c r="G117" s="449">
        <f t="shared" si="7"/>
        <v>0</v>
      </c>
      <c r="H117" s="448"/>
      <c r="I117" s="449"/>
      <c r="J117" s="758"/>
      <c r="L117" s="603"/>
      <c r="M117" s="603"/>
      <c r="N117" s="620"/>
      <c r="O117" s="620"/>
      <c r="P117" s="620"/>
    </row>
    <row r="118" spans="1:16" s="355" customFormat="1" ht="34.5" customHeight="1" hidden="1">
      <c r="A118" s="374"/>
      <c r="B118" s="375"/>
      <c r="C118" s="391" t="s">
        <v>561</v>
      </c>
      <c r="D118" s="369">
        <f>'[6]수입'!D12-D14-D32-D69-D72-D80-D86-D77-D89-D97-D110</f>
        <v>-15263000000</v>
      </c>
      <c r="E118" s="448"/>
      <c r="F118" s="448"/>
      <c r="G118" s="449">
        <f t="shared" si="7"/>
        <v>0</v>
      </c>
      <c r="H118" s="448"/>
      <c r="I118" s="449"/>
      <c r="J118" s="758"/>
      <c r="L118" s="603"/>
      <c r="M118" s="603"/>
      <c r="N118" s="620"/>
      <c r="O118" s="620"/>
      <c r="P118" s="620"/>
    </row>
    <row r="119" spans="1:16" s="355" customFormat="1" ht="34.5" customHeight="1" hidden="1">
      <c r="A119" s="395"/>
      <c r="B119" s="396"/>
      <c r="C119" s="397" t="s">
        <v>562</v>
      </c>
      <c r="D119" s="369">
        <f>'[6]수입'!D13-D15-D33-D70-D73-D81-D87-D78-D90-D99-D111</f>
        <v>-322154999999.54004</v>
      </c>
      <c r="E119" s="450"/>
      <c r="F119" s="450"/>
      <c r="G119" s="449">
        <f t="shared" si="7"/>
        <v>0</v>
      </c>
      <c r="H119" s="450"/>
      <c r="I119" s="451"/>
      <c r="J119" s="758"/>
      <c r="L119" s="603"/>
      <c r="M119" s="603"/>
      <c r="N119" s="620"/>
      <c r="O119" s="620"/>
      <c r="P119" s="620"/>
    </row>
    <row r="120" spans="1:16" s="355" customFormat="1" ht="34.5" customHeight="1">
      <c r="A120" s="601"/>
      <c r="B120" s="601"/>
      <c r="C120" s="601"/>
      <c r="D120" s="601"/>
      <c r="E120" s="354"/>
      <c r="F120" s="601"/>
      <c r="G120" s="601"/>
      <c r="H120" s="601"/>
      <c r="I120" s="601"/>
      <c r="J120" s="452"/>
      <c r="L120" s="603"/>
      <c r="M120" s="603"/>
      <c r="N120" s="620"/>
      <c r="O120" s="620"/>
      <c r="P120" s="620"/>
    </row>
    <row r="121" spans="1:16" s="355" customFormat="1" ht="34.5" customHeight="1">
      <c r="A121" s="601"/>
      <c r="B121" s="601"/>
      <c r="C121" s="601"/>
      <c r="D121" s="601"/>
      <c r="E121" s="453"/>
      <c r="F121" s="601"/>
      <c r="G121" s="555"/>
      <c r="H121" s="601"/>
      <c r="I121" s="601"/>
      <c r="J121" s="452"/>
      <c r="L121" s="603"/>
      <c r="M121" s="603"/>
      <c r="N121" s="620"/>
      <c r="O121" s="620"/>
      <c r="P121" s="620"/>
    </row>
    <row r="122" spans="1:16" s="355" customFormat="1" ht="34.5" customHeight="1">
      <c r="A122" s="601"/>
      <c r="B122" s="601"/>
      <c r="C122" s="601"/>
      <c r="D122" s="601"/>
      <c r="E122" s="453"/>
      <c r="F122" s="601"/>
      <c r="G122" s="601"/>
      <c r="H122" s="601"/>
      <c r="I122" s="601"/>
      <c r="J122" s="452"/>
      <c r="L122" s="603"/>
      <c r="M122" s="603"/>
      <c r="N122" s="620"/>
      <c r="O122" s="620"/>
      <c r="P122" s="620"/>
    </row>
    <row r="123" spans="1:16" s="355" customFormat="1" ht="34.5" customHeight="1">
      <c r="A123" s="601"/>
      <c r="B123" s="601"/>
      <c r="C123" s="601"/>
      <c r="D123" s="601"/>
      <c r="E123" s="354"/>
      <c r="F123" s="601"/>
      <c r="G123" s="601"/>
      <c r="H123" s="601"/>
      <c r="I123" s="601"/>
      <c r="J123" s="601"/>
      <c r="L123" s="603"/>
      <c r="M123" s="603"/>
      <c r="N123" s="620"/>
      <c r="O123" s="620"/>
      <c r="P123" s="620"/>
    </row>
    <row r="124" spans="1:16" s="355" customFormat="1" ht="34.5" customHeight="1">
      <c r="A124" s="601"/>
      <c r="B124" s="601"/>
      <c r="C124" s="601"/>
      <c r="D124" s="601"/>
      <c r="E124" s="453"/>
      <c r="F124" s="601"/>
      <c r="G124" s="601"/>
      <c r="H124" s="601"/>
      <c r="I124" s="601"/>
      <c r="J124" s="601"/>
      <c r="L124" s="603"/>
      <c r="M124" s="603"/>
      <c r="N124" s="620"/>
      <c r="O124" s="620"/>
      <c r="P124" s="620"/>
    </row>
    <row r="125" spans="1:16" s="355" customFormat="1" ht="34.5" customHeight="1">
      <c r="A125" s="601"/>
      <c r="B125" s="601"/>
      <c r="C125" s="601"/>
      <c r="D125" s="601"/>
      <c r="E125" s="454"/>
      <c r="F125" s="601"/>
      <c r="G125" s="601"/>
      <c r="H125" s="601"/>
      <c r="I125" s="601"/>
      <c r="J125" s="601"/>
      <c r="L125" s="603"/>
      <c r="M125" s="603"/>
      <c r="N125" s="620"/>
      <c r="O125" s="620"/>
      <c r="P125" s="620"/>
    </row>
  </sheetData>
  <sheetProtection/>
  <mergeCells count="8">
    <mergeCell ref="A1:J1"/>
    <mergeCell ref="A3:B3"/>
    <mergeCell ref="D4:D5"/>
    <mergeCell ref="E4:E5"/>
    <mergeCell ref="F4:F5"/>
    <mergeCell ref="G4:G5"/>
    <mergeCell ref="H4:H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3"/>
  <sheetViews>
    <sheetView view="pageBreakPreview" zoomScale="70" zoomScaleSheetLayoutView="70" zoomScalePageLayoutView="0" workbookViewId="0" topLeftCell="B1">
      <pane ySplit="5" topLeftCell="A42" activePane="bottomLeft" state="frozen"/>
      <selection pane="topLeft" activeCell="A1" sqref="A1"/>
      <selection pane="bottomLeft" activeCell="H64" sqref="H64"/>
    </sheetView>
  </sheetViews>
  <sheetFormatPr defaultColWidth="8.88671875" defaultRowHeight="13.5"/>
  <cols>
    <col min="1" max="1" width="27.3359375" style="17" bestFit="1" customWidth="1"/>
    <col min="2" max="2" width="13.10546875" style="17" customWidth="1"/>
    <col min="3" max="3" width="15.5546875" style="17" customWidth="1"/>
    <col min="4" max="4" width="21.77734375" style="17" bestFit="1" customWidth="1"/>
    <col min="5" max="5" width="21.77734375" style="266" bestFit="1" customWidth="1"/>
    <col min="6" max="6" width="20.3359375" style="266" bestFit="1" customWidth="1"/>
    <col min="7" max="9" width="21.77734375" style="266" bestFit="1" customWidth="1"/>
    <col min="10" max="10" width="43.6640625" style="354" customWidth="1"/>
    <col min="11" max="11" width="15.10546875" style="91" customWidth="1"/>
    <col min="12" max="16384" width="8.88671875" style="17" customWidth="1"/>
  </cols>
  <sheetData>
    <row r="1" spans="1:10" ht="60" customHeight="1">
      <c r="A1" s="1051" t="s">
        <v>580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933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25.5" customHeight="1">
      <c r="A3" s="265" t="s">
        <v>393</v>
      </c>
      <c r="J3" s="267" t="s">
        <v>394</v>
      </c>
    </row>
    <row r="4" spans="1:11" s="256" customFormat="1" ht="28.5" customHeight="1">
      <c r="A4" s="268"/>
      <c r="B4" s="269" t="s">
        <v>395</v>
      </c>
      <c r="C4" s="269"/>
      <c r="D4" s="1052" t="s">
        <v>583</v>
      </c>
      <c r="E4" s="1054" t="s">
        <v>792</v>
      </c>
      <c r="F4" s="1056" t="s">
        <v>396</v>
      </c>
      <c r="G4" s="1058" t="s">
        <v>397</v>
      </c>
      <c r="H4" s="1060" t="s">
        <v>793</v>
      </c>
      <c r="I4" s="270" t="s">
        <v>398</v>
      </c>
      <c r="J4" s="1062" t="s">
        <v>399</v>
      </c>
      <c r="K4" s="271"/>
    </row>
    <row r="5" spans="1:10" ht="28.5" customHeight="1">
      <c r="A5" s="272" t="s">
        <v>400</v>
      </c>
      <c r="B5" s="273" t="s">
        <v>401</v>
      </c>
      <c r="C5" s="274" t="s">
        <v>3</v>
      </c>
      <c r="D5" s="1053"/>
      <c r="E5" s="1055"/>
      <c r="F5" s="1057"/>
      <c r="G5" s="1059"/>
      <c r="H5" s="1061"/>
      <c r="I5" s="275" t="s">
        <v>402</v>
      </c>
      <c r="J5" s="1063"/>
    </row>
    <row r="6" spans="1:10" ht="32.25" customHeight="1">
      <c r="A6" s="276" t="s">
        <v>403</v>
      </c>
      <c r="B6" s="277"/>
      <c r="C6" s="277"/>
      <c r="D6" s="278">
        <f>D7+D12+D24+D32+D35+D43+D49+D51</f>
        <v>306035999999.54004</v>
      </c>
      <c r="E6" s="278">
        <f>E7+E12+E24+E32+E35+E43+E49+E51</f>
        <v>266818315290</v>
      </c>
      <c r="F6" s="278">
        <f>F7+F12+F24+F32+F35+F43+F49+F51</f>
        <v>55896684710</v>
      </c>
      <c r="G6" s="279">
        <f>G7+G12+G24+G32+G35+G43+G49+G51</f>
        <v>322715000000</v>
      </c>
      <c r="H6" s="280">
        <f>H7+H12+H24+H32+H35+H43+H49+H51</f>
        <v>339468451279.54004</v>
      </c>
      <c r="I6" s="281">
        <f>H6-D6</f>
        <v>33432451280</v>
      </c>
      <c r="J6" s="282" t="s">
        <v>20</v>
      </c>
    </row>
    <row r="7" spans="1:11" s="291" customFormat="1" ht="32.25" customHeight="1">
      <c r="A7" s="283" t="s">
        <v>404</v>
      </c>
      <c r="B7" s="284"/>
      <c r="C7" s="284"/>
      <c r="D7" s="285">
        <f>D8</f>
        <v>208151503439.54</v>
      </c>
      <c r="E7" s="285">
        <f>E8</f>
        <v>138904032000</v>
      </c>
      <c r="F7" s="285">
        <f>F8</f>
        <v>52494020160</v>
      </c>
      <c r="G7" s="286">
        <f>G8</f>
        <v>191398052160</v>
      </c>
      <c r="H7" s="287">
        <f>H8</f>
        <v>208151503439.54</v>
      </c>
      <c r="I7" s="288">
        <f aca="true" t="shared" si="0" ref="I7:I50">H7-D7</f>
        <v>0</v>
      </c>
      <c r="J7" s="289"/>
      <c r="K7" s="290"/>
    </row>
    <row r="8" spans="1:10" ht="32.25" customHeight="1">
      <c r="A8" s="292"/>
      <c r="B8" s="277" t="s">
        <v>405</v>
      </c>
      <c r="C8" s="293"/>
      <c r="D8" s="294">
        <f>SUM(D9:D11)</f>
        <v>208151503439.54</v>
      </c>
      <c r="E8" s="294">
        <f>SUM(E9:E11)</f>
        <v>138904032000</v>
      </c>
      <c r="F8" s="294">
        <f>SUM(F9:F11)</f>
        <v>52494020160</v>
      </c>
      <c r="G8" s="295">
        <f>SUM(G9:G11)</f>
        <v>191398052160</v>
      </c>
      <c r="H8" s="296">
        <f>SUM(H9:H11)</f>
        <v>208151503439.54</v>
      </c>
      <c r="I8" s="297">
        <f t="shared" si="0"/>
        <v>0</v>
      </c>
      <c r="J8" s="298" t="s">
        <v>20</v>
      </c>
    </row>
    <row r="9" spans="1:10" ht="32.25" customHeight="1">
      <c r="A9" s="292"/>
      <c r="B9" s="277"/>
      <c r="C9" s="293" t="s">
        <v>9</v>
      </c>
      <c r="D9" s="299">
        <f>+'2020년예산서수입'!C8</f>
        <v>128333503439.54001</v>
      </c>
      <c r="E9" s="489">
        <v>86928119000</v>
      </c>
      <c r="F9" s="488">
        <v>32000833160</v>
      </c>
      <c r="G9" s="301">
        <f>+F9+E9</f>
        <v>118928952160</v>
      </c>
      <c r="H9" s="302">
        <f>+IF(D9&gt;G9,D9,G9)</f>
        <v>128333503439.54001</v>
      </c>
      <c r="I9" s="303">
        <f t="shared" si="0"/>
        <v>0</v>
      </c>
      <c r="J9" s="304" t="s">
        <v>20</v>
      </c>
    </row>
    <row r="10" spans="1:10" ht="32.25" customHeight="1">
      <c r="A10" s="292"/>
      <c r="B10" s="277"/>
      <c r="C10" s="305" t="s">
        <v>406</v>
      </c>
      <c r="D10" s="299">
        <f>+'2020년예산서수입'!C27</f>
        <v>70458000000</v>
      </c>
      <c r="E10" s="489">
        <v>46247369000</v>
      </c>
      <c r="F10" s="488">
        <v>19000731000</v>
      </c>
      <c r="G10" s="301">
        <f>+E10+F10</f>
        <v>65248100000</v>
      </c>
      <c r="H10" s="302">
        <f>+IF(D10&gt;G10,D10,G10)</f>
        <v>70458000000</v>
      </c>
      <c r="I10" s="303">
        <f t="shared" si="0"/>
        <v>0</v>
      </c>
      <c r="J10" s="306"/>
    </row>
    <row r="11" spans="1:10" ht="32.25" customHeight="1">
      <c r="A11" s="292"/>
      <c r="B11" s="277"/>
      <c r="C11" s="277" t="s">
        <v>407</v>
      </c>
      <c r="D11" s="307">
        <f>+'2020년예산서수입'!C46</f>
        <v>9360000000</v>
      </c>
      <c r="E11" s="490">
        <v>5728544000</v>
      </c>
      <c r="F11" s="488">
        <v>1492456000</v>
      </c>
      <c r="G11" s="301">
        <f>+F11+E11</f>
        <v>7221000000</v>
      </c>
      <c r="H11" s="302">
        <f>+IF(D11&gt;G11,D11,G11)</f>
        <v>9360000000</v>
      </c>
      <c r="I11" s="308">
        <f t="shared" si="0"/>
        <v>0</v>
      </c>
      <c r="J11" s="602" t="s">
        <v>582</v>
      </c>
    </row>
    <row r="12" spans="1:11" s="291" customFormat="1" ht="32.25" customHeight="1">
      <c r="A12" s="283" t="s">
        <v>408</v>
      </c>
      <c r="B12" s="284"/>
      <c r="C12" s="284"/>
      <c r="D12" s="285">
        <f>D13+D18+D22</f>
        <v>2045000000</v>
      </c>
      <c r="E12" s="309">
        <f>E13+E18+E22</f>
        <v>1703264823</v>
      </c>
      <c r="F12" s="309">
        <f>F13+F18+F22</f>
        <v>1441735177</v>
      </c>
      <c r="G12" s="310">
        <f>G13+G18+G22</f>
        <v>3145000000</v>
      </c>
      <c r="H12" s="311">
        <f>H13+H18+H22</f>
        <v>3145000000</v>
      </c>
      <c r="I12" s="312">
        <f t="shared" si="0"/>
        <v>1100000000</v>
      </c>
      <c r="J12" s="289"/>
      <c r="K12" s="290"/>
    </row>
    <row r="13" spans="1:10" ht="32.25" customHeight="1">
      <c r="A13" s="276"/>
      <c r="B13" s="277" t="s">
        <v>409</v>
      </c>
      <c r="C13" s="293"/>
      <c r="D13" s="294">
        <f>SUM(D14:D17)</f>
        <v>0</v>
      </c>
      <c r="E13" s="313">
        <f>SUM(E14:E17)</f>
        <v>0</v>
      </c>
      <c r="F13" s="313">
        <f>SUM(F14:F17)</f>
        <v>0</v>
      </c>
      <c r="G13" s="314">
        <f>SUM(G14:G17)</f>
        <v>0</v>
      </c>
      <c r="H13" s="296">
        <f>SUM(H14:H17)</f>
        <v>0</v>
      </c>
      <c r="I13" s="315">
        <f t="shared" si="0"/>
        <v>0</v>
      </c>
      <c r="J13" s="316"/>
    </row>
    <row r="14" spans="1:10" ht="32.25" customHeight="1">
      <c r="A14" s="292"/>
      <c r="B14" s="277"/>
      <c r="C14" s="293" t="s">
        <v>410</v>
      </c>
      <c r="D14" s="299">
        <v>0</v>
      </c>
      <c r="E14" s="300">
        <v>0</v>
      </c>
      <c r="F14" s="299">
        <v>0</v>
      </c>
      <c r="G14" s="301">
        <f>F14+E14</f>
        <v>0</v>
      </c>
      <c r="H14" s="302">
        <f>+IF(D14&gt;G14,D14,G14)</f>
        <v>0</v>
      </c>
      <c r="I14" s="317">
        <f t="shared" si="0"/>
        <v>0</v>
      </c>
      <c r="J14" s="316"/>
    </row>
    <row r="15" spans="1:10" ht="32.25" customHeight="1">
      <c r="A15" s="292"/>
      <c r="B15" s="277"/>
      <c r="C15" s="293" t="s">
        <v>411</v>
      </c>
      <c r="D15" s="299">
        <v>0</v>
      </c>
      <c r="E15" s="300">
        <v>0</v>
      </c>
      <c r="F15" s="299">
        <v>0</v>
      </c>
      <c r="G15" s="301">
        <f>F15+E15</f>
        <v>0</v>
      </c>
      <c r="H15" s="302">
        <f>+IF(D15&gt;G15,D15,G15)</f>
        <v>0</v>
      </c>
      <c r="I15" s="317">
        <f t="shared" si="0"/>
        <v>0</v>
      </c>
      <c r="J15" s="318"/>
    </row>
    <row r="16" spans="1:10" ht="32.25" customHeight="1">
      <c r="A16" s="292"/>
      <c r="B16" s="277"/>
      <c r="C16" s="319" t="s">
        <v>412</v>
      </c>
      <c r="D16" s="320">
        <v>0</v>
      </c>
      <c r="E16" s="300">
        <v>0</v>
      </c>
      <c r="F16" s="299">
        <v>0</v>
      </c>
      <c r="G16" s="301">
        <f>F16+E16</f>
        <v>0</v>
      </c>
      <c r="H16" s="302">
        <f>+IF(D16&gt;G16,D16,G16)</f>
        <v>0</v>
      </c>
      <c r="I16" s="317">
        <f t="shared" si="0"/>
        <v>0</v>
      </c>
      <c r="J16" s="321"/>
    </row>
    <row r="17" spans="1:10" ht="32.25" customHeight="1">
      <c r="A17" s="292"/>
      <c r="B17" s="277"/>
      <c r="C17" s="293" t="s">
        <v>413</v>
      </c>
      <c r="D17" s="299">
        <v>0</v>
      </c>
      <c r="E17" s="322">
        <v>0</v>
      </c>
      <c r="F17" s="299">
        <v>0</v>
      </c>
      <c r="G17" s="301">
        <f>F17+E17</f>
        <v>0</v>
      </c>
      <c r="H17" s="302">
        <f>+IF(D17&gt;G17,D17,G17)</f>
        <v>0</v>
      </c>
      <c r="I17" s="317">
        <f t="shared" si="0"/>
        <v>0</v>
      </c>
      <c r="J17" s="323"/>
    </row>
    <row r="18" spans="1:10" ht="32.25" customHeight="1">
      <c r="A18" s="292"/>
      <c r="B18" s="324" t="s">
        <v>414</v>
      </c>
      <c r="C18" s="277"/>
      <c r="D18" s="299">
        <f>SUM(D19:D21)</f>
        <v>2045000000</v>
      </c>
      <c r="E18" s="300">
        <f>SUM(E19:E21)</f>
        <v>1703264823</v>
      </c>
      <c r="F18" s="300">
        <f>SUM(F19:F21)</f>
        <v>1441735177</v>
      </c>
      <c r="G18" s="301">
        <f>SUM(G19:G21)</f>
        <v>3145000000</v>
      </c>
      <c r="H18" s="325">
        <f>SUM(H19:H21)</f>
        <v>3145000000</v>
      </c>
      <c r="I18" s="303">
        <f t="shared" si="0"/>
        <v>1100000000</v>
      </c>
      <c r="J18" s="318"/>
    </row>
    <row r="19" spans="1:10" ht="54.75" customHeight="1">
      <c r="A19" s="292"/>
      <c r="B19" s="277"/>
      <c r="C19" s="324" t="s">
        <v>415</v>
      </c>
      <c r="D19" s="299">
        <f>+'2020년예산서수입'!C54</f>
        <v>2045000000</v>
      </c>
      <c r="E19" s="732">
        <v>1703264823</v>
      </c>
      <c r="F19" s="732">
        <v>1441735177</v>
      </c>
      <c r="G19" s="301">
        <f>+E19+F19</f>
        <v>3145000000</v>
      </c>
      <c r="H19" s="302">
        <f>+G19</f>
        <v>3145000000</v>
      </c>
      <c r="I19" s="303">
        <f t="shared" si="0"/>
        <v>1100000000</v>
      </c>
      <c r="J19" s="733" t="s">
        <v>790</v>
      </c>
    </row>
    <row r="20" spans="1:10" ht="32.25" customHeight="1">
      <c r="A20" s="292"/>
      <c r="B20" s="277"/>
      <c r="C20" s="324" t="s">
        <v>416</v>
      </c>
      <c r="D20" s="299">
        <v>0</v>
      </c>
      <c r="E20" s="299">
        <v>0</v>
      </c>
      <c r="F20" s="299">
        <v>0</v>
      </c>
      <c r="G20" s="301">
        <f>F20+E20</f>
        <v>0</v>
      </c>
      <c r="H20" s="302">
        <f>+IF(D20&gt;G20,D20,G20)</f>
        <v>0</v>
      </c>
      <c r="I20" s="317">
        <f t="shared" si="0"/>
        <v>0</v>
      </c>
      <c r="J20" s="326" t="s">
        <v>20</v>
      </c>
    </row>
    <row r="21" spans="1:10" ht="32.25" customHeight="1">
      <c r="A21" s="292"/>
      <c r="B21" s="277"/>
      <c r="C21" s="324" t="s">
        <v>417</v>
      </c>
      <c r="D21" s="299">
        <v>0</v>
      </c>
      <c r="E21" s="299">
        <v>0</v>
      </c>
      <c r="F21" s="299">
        <v>0</v>
      </c>
      <c r="G21" s="301">
        <f>F21+E21</f>
        <v>0</v>
      </c>
      <c r="H21" s="302">
        <f>+IF(D21&gt;G21,D21,G21)</f>
        <v>0</v>
      </c>
      <c r="I21" s="317">
        <f t="shared" si="0"/>
        <v>0</v>
      </c>
      <c r="J21" s="326" t="s">
        <v>20</v>
      </c>
    </row>
    <row r="22" spans="1:10" ht="32.25" customHeight="1">
      <c r="A22" s="292"/>
      <c r="B22" s="324" t="s">
        <v>418</v>
      </c>
      <c r="C22" s="305"/>
      <c r="D22" s="299">
        <f>D23</f>
        <v>0</v>
      </c>
      <c r="E22" s="300">
        <f>E23</f>
        <v>0</v>
      </c>
      <c r="F22" s="300">
        <f>F23</f>
        <v>0</v>
      </c>
      <c r="G22" s="301">
        <f>G23</f>
        <v>0</v>
      </c>
      <c r="H22" s="325">
        <f>H23</f>
        <v>0</v>
      </c>
      <c r="I22" s="317">
        <f t="shared" si="0"/>
        <v>0</v>
      </c>
      <c r="J22" s="318"/>
    </row>
    <row r="23" spans="1:10" ht="32.25" customHeight="1">
      <c r="A23" s="292"/>
      <c r="B23" s="277"/>
      <c r="C23" s="277" t="s">
        <v>419</v>
      </c>
      <c r="D23" s="299">
        <v>0</v>
      </c>
      <c r="E23" s="299">
        <v>0</v>
      </c>
      <c r="F23" s="299">
        <v>0</v>
      </c>
      <c r="G23" s="301">
        <f>F23+E23</f>
        <v>0</v>
      </c>
      <c r="H23" s="302">
        <f>+IF(D23&gt;G23,D23,G23)</f>
        <v>0</v>
      </c>
      <c r="I23" s="327">
        <f t="shared" si="0"/>
        <v>0</v>
      </c>
      <c r="J23" s="328" t="s">
        <v>20</v>
      </c>
    </row>
    <row r="24" spans="1:11" s="291" customFormat="1" ht="32.25" customHeight="1">
      <c r="A24" s="283" t="s">
        <v>420</v>
      </c>
      <c r="B24" s="284"/>
      <c r="C24" s="284"/>
      <c r="D24" s="285">
        <f>D25+D29</f>
        <v>4600000000</v>
      </c>
      <c r="E24" s="309">
        <f>E25+E29</f>
        <v>3226017715</v>
      </c>
      <c r="F24" s="309">
        <f>F25+F29</f>
        <v>1373982285</v>
      </c>
      <c r="G24" s="310">
        <f>G25+G29</f>
        <v>4600000000</v>
      </c>
      <c r="H24" s="311">
        <f>H25+H29</f>
        <v>4600000000</v>
      </c>
      <c r="I24" s="312">
        <f t="shared" si="0"/>
        <v>0</v>
      </c>
      <c r="J24" s="289"/>
      <c r="K24" s="290"/>
    </row>
    <row r="25" spans="1:10" ht="32.25" customHeight="1">
      <c r="A25" s="292"/>
      <c r="B25" s="277" t="s">
        <v>421</v>
      </c>
      <c r="C25" s="293"/>
      <c r="D25" s="294">
        <f>SUM(D26:D28)</f>
        <v>1800000000</v>
      </c>
      <c r="E25" s="313">
        <f>SUM(E26:E28)</f>
        <v>1015052571</v>
      </c>
      <c r="F25" s="313">
        <f>SUM(F26:F28)</f>
        <v>384947429</v>
      </c>
      <c r="G25" s="314">
        <f>SUM(G26:G28)</f>
        <v>1400000000</v>
      </c>
      <c r="H25" s="296">
        <f>SUM(H26:H28)</f>
        <v>1400000000</v>
      </c>
      <c r="I25" s="297">
        <f t="shared" si="0"/>
        <v>-400000000</v>
      </c>
      <c r="J25" s="316"/>
    </row>
    <row r="26" spans="1:10" ht="32.25" customHeight="1">
      <c r="A26" s="292"/>
      <c r="B26" s="277"/>
      <c r="C26" s="305" t="s">
        <v>422</v>
      </c>
      <c r="D26" s="299">
        <f>+'2020년예산서수입'!C72</f>
        <v>1800000000</v>
      </c>
      <c r="E26" s="735">
        <v>1015052571</v>
      </c>
      <c r="F26" s="734">
        <v>384947429</v>
      </c>
      <c r="G26" s="301">
        <f>+E26+F26</f>
        <v>1400000000</v>
      </c>
      <c r="H26" s="302">
        <f>+G26</f>
        <v>1400000000</v>
      </c>
      <c r="I26" s="303">
        <f t="shared" si="0"/>
        <v>-400000000</v>
      </c>
      <c r="J26" s="318" t="s">
        <v>423</v>
      </c>
    </row>
    <row r="27" spans="1:10" ht="32.25" customHeight="1">
      <c r="A27" s="292"/>
      <c r="B27" s="277"/>
      <c r="C27" s="305" t="s">
        <v>424</v>
      </c>
      <c r="D27" s="299">
        <v>0</v>
      </c>
      <c r="E27" s="300">
        <v>0</v>
      </c>
      <c r="F27" s="299">
        <v>0</v>
      </c>
      <c r="G27" s="301">
        <f>F27+E27</f>
        <v>0</v>
      </c>
      <c r="H27" s="302">
        <f>+IF(D27&gt;G27,D27,G27)</f>
        <v>0</v>
      </c>
      <c r="I27" s="303">
        <f t="shared" si="0"/>
        <v>0</v>
      </c>
      <c r="J27" s="318"/>
    </row>
    <row r="28" spans="1:10" ht="32.25" customHeight="1">
      <c r="A28" s="292"/>
      <c r="B28" s="277"/>
      <c r="C28" s="305" t="s">
        <v>425</v>
      </c>
      <c r="D28" s="299">
        <v>0</v>
      </c>
      <c r="E28" s="300">
        <v>0</v>
      </c>
      <c r="F28" s="299">
        <v>0</v>
      </c>
      <c r="G28" s="301">
        <f>F28+E28</f>
        <v>0</v>
      </c>
      <c r="H28" s="302">
        <f>+IF(D28&gt;G28,D28,G28)</f>
        <v>0</v>
      </c>
      <c r="I28" s="303">
        <f t="shared" si="0"/>
        <v>0</v>
      </c>
      <c r="J28" s="318"/>
    </row>
    <row r="29" spans="1:10" ht="32.25" customHeight="1">
      <c r="A29" s="292"/>
      <c r="B29" s="329" t="s">
        <v>426</v>
      </c>
      <c r="C29" s="324"/>
      <c r="D29" s="299">
        <f>SUM(D30:D31)</f>
        <v>2800000000</v>
      </c>
      <c r="E29" s="300">
        <f>SUM(E30:E31)</f>
        <v>2210965144</v>
      </c>
      <c r="F29" s="300">
        <f>SUM(F30:F31)</f>
        <v>989034856</v>
      </c>
      <c r="G29" s="301">
        <f>SUM(G30:G31)</f>
        <v>3200000000</v>
      </c>
      <c r="H29" s="325">
        <f>SUM(H30:H31)</f>
        <v>3200000000</v>
      </c>
      <c r="I29" s="303">
        <f t="shared" si="0"/>
        <v>400000000</v>
      </c>
      <c r="J29" s="328"/>
    </row>
    <row r="30" spans="1:10" ht="32.25" customHeight="1">
      <c r="A30" s="292"/>
      <c r="B30" s="330"/>
      <c r="C30" s="331" t="s">
        <v>427</v>
      </c>
      <c r="D30" s="320">
        <f>+'2020년예산서수입'!C69</f>
        <v>2800000000</v>
      </c>
      <c r="E30" s="737">
        <v>2210965144</v>
      </c>
      <c r="F30" s="736">
        <v>989034856</v>
      </c>
      <c r="G30" s="301">
        <f>+E30+F30</f>
        <v>3200000000</v>
      </c>
      <c r="H30" s="302">
        <f>+G30</f>
        <v>3200000000</v>
      </c>
      <c r="I30" s="303">
        <f t="shared" si="0"/>
        <v>400000000</v>
      </c>
      <c r="J30" s="738" t="s">
        <v>791</v>
      </c>
    </row>
    <row r="31" spans="1:10" ht="32.25" customHeight="1">
      <c r="A31" s="292"/>
      <c r="B31" s="277"/>
      <c r="C31" s="329" t="s">
        <v>428</v>
      </c>
      <c r="D31" s="332"/>
      <c r="E31" s="333">
        <v>0</v>
      </c>
      <c r="F31" s="334">
        <v>0</v>
      </c>
      <c r="G31" s="301">
        <f>F31+E31</f>
        <v>0</v>
      </c>
      <c r="H31" s="302">
        <f>+IF(D31&gt;G31,D31,G31)</f>
        <v>0</v>
      </c>
      <c r="I31" s="335">
        <f t="shared" si="0"/>
        <v>0</v>
      </c>
      <c r="J31" s="336"/>
    </row>
    <row r="32" spans="1:11" s="291" customFormat="1" ht="32.25" customHeight="1">
      <c r="A32" s="283" t="s">
        <v>429</v>
      </c>
      <c r="B32" s="284"/>
      <c r="C32" s="284"/>
      <c r="D32" s="285">
        <f aca="true" t="shared" si="1" ref="D32:H33">D33</f>
        <v>3372000000</v>
      </c>
      <c r="E32" s="309">
        <f t="shared" si="1"/>
        <v>1387052912</v>
      </c>
      <c r="F32" s="309">
        <f t="shared" si="1"/>
        <v>584947088</v>
      </c>
      <c r="G32" s="310">
        <f t="shared" si="1"/>
        <v>1972000000</v>
      </c>
      <c r="H32" s="311">
        <f t="shared" si="1"/>
        <v>1972000000</v>
      </c>
      <c r="I32" s="312">
        <f t="shared" si="0"/>
        <v>-1400000000</v>
      </c>
      <c r="J32" s="289"/>
      <c r="K32" s="290"/>
    </row>
    <row r="33" spans="1:10" ht="32.25" customHeight="1">
      <c r="A33" s="292"/>
      <c r="B33" s="277" t="s">
        <v>430</v>
      </c>
      <c r="C33" s="293"/>
      <c r="D33" s="294">
        <f t="shared" si="1"/>
        <v>3372000000</v>
      </c>
      <c r="E33" s="313">
        <f t="shared" si="1"/>
        <v>1387052912</v>
      </c>
      <c r="F33" s="313">
        <f t="shared" si="1"/>
        <v>584947088</v>
      </c>
      <c r="G33" s="314">
        <f t="shared" si="1"/>
        <v>1972000000</v>
      </c>
      <c r="H33" s="296">
        <f t="shared" si="1"/>
        <v>1972000000</v>
      </c>
      <c r="I33" s="297">
        <f t="shared" si="0"/>
        <v>-1400000000</v>
      </c>
      <c r="J33" s="316"/>
    </row>
    <row r="34" spans="1:10" ht="32.25" customHeight="1">
      <c r="A34" s="292"/>
      <c r="B34" s="277"/>
      <c r="C34" s="305" t="s">
        <v>431</v>
      </c>
      <c r="D34" s="299">
        <f>+'2020년예산서수입'!C67</f>
        <v>3372000000</v>
      </c>
      <c r="E34" s="739">
        <v>1387052912</v>
      </c>
      <c r="F34" s="740">
        <v>584947088</v>
      </c>
      <c r="G34" s="301">
        <f>+F34+E34</f>
        <v>1972000000</v>
      </c>
      <c r="H34" s="302">
        <f>+G34</f>
        <v>1972000000</v>
      </c>
      <c r="I34" s="303">
        <f t="shared" si="0"/>
        <v>-1400000000</v>
      </c>
      <c r="J34" s="318"/>
    </row>
    <row r="35" spans="1:11" s="291" customFormat="1" ht="32.25" customHeight="1">
      <c r="A35" s="283" t="s">
        <v>432</v>
      </c>
      <c r="B35" s="284"/>
      <c r="C35" s="284"/>
      <c r="D35" s="285">
        <f>D36+D38+D41</f>
        <v>0</v>
      </c>
      <c r="E35" s="309">
        <f>E36+E38+E41</f>
        <v>150000000</v>
      </c>
      <c r="F35" s="309">
        <f>F36+F38+F41</f>
        <v>2000000</v>
      </c>
      <c r="G35" s="310">
        <f>G36+G38+G41</f>
        <v>152000000</v>
      </c>
      <c r="H35" s="311">
        <f>H36+H38+H41</f>
        <v>152000000</v>
      </c>
      <c r="I35" s="337">
        <f t="shared" si="0"/>
        <v>152000000</v>
      </c>
      <c r="J35" s="289"/>
      <c r="K35" s="290"/>
    </row>
    <row r="36" spans="1:10" ht="32.25" customHeight="1">
      <c r="A36" s="292"/>
      <c r="B36" s="277" t="s">
        <v>433</v>
      </c>
      <c r="C36" s="293"/>
      <c r="D36" s="294">
        <f>D37</f>
        <v>0</v>
      </c>
      <c r="E36" s="294">
        <f>E37</f>
        <v>0</v>
      </c>
      <c r="F36" s="294">
        <f>F37</f>
        <v>0</v>
      </c>
      <c r="G36" s="295">
        <f>G37</f>
        <v>0</v>
      </c>
      <c r="H36" s="338">
        <f>H37</f>
        <v>0</v>
      </c>
      <c r="I36" s="315">
        <f t="shared" si="0"/>
        <v>0</v>
      </c>
      <c r="J36" s="316"/>
    </row>
    <row r="37" spans="1:10" ht="32.25" customHeight="1">
      <c r="A37" s="292"/>
      <c r="B37" s="293"/>
      <c r="C37" s="339" t="s">
        <v>434</v>
      </c>
      <c r="D37" s="340">
        <v>0</v>
      </c>
      <c r="E37" s="300">
        <v>0</v>
      </c>
      <c r="F37" s="300">
        <v>0</v>
      </c>
      <c r="G37" s="301">
        <f>F37+E37</f>
        <v>0</v>
      </c>
      <c r="H37" s="302">
        <f>+IF(D37&gt;G37,D37,G37)</f>
        <v>0</v>
      </c>
      <c r="I37" s="317">
        <f t="shared" si="0"/>
        <v>0</v>
      </c>
      <c r="J37" s="318"/>
    </row>
    <row r="38" spans="1:10" ht="32.25" customHeight="1">
      <c r="A38" s="292"/>
      <c r="B38" s="330" t="s">
        <v>435</v>
      </c>
      <c r="C38" s="293"/>
      <c r="D38" s="299">
        <f>SUM(D39:D40)</f>
        <v>0</v>
      </c>
      <c r="E38" s="300">
        <f>SUM(E39:E40)</f>
        <v>0</v>
      </c>
      <c r="F38" s="300">
        <f>SUM(F39:F40)</f>
        <v>0</v>
      </c>
      <c r="G38" s="301">
        <f>SUM(G39:G40)</f>
        <v>0</v>
      </c>
      <c r="H38" s="325">
        <f>SUM(H39:H40)</f>
        <v>0</v>
      </c>
      <c r="I38" s="317">
        <f t="shared" si="0"/>
        <v>0</v>
      </c>
      <c r="J38" s="318"/>
    </row>
    <row r="39" spans="1:10" ht="32.25" customHeight="1">
      <c r="A39" s="292"/>
      <c r="B39" s="330"/>
      <c r="C39" s="293" t="s">
        <v>436</v>
      </c>
      <c r="D39" s="320">
        <v>0</v>
      </c>
      <c r="E39" s="320">
        <v>0</v>
      </c>
      <c r="F39" s="320">
        <v>0</v>
      </c>
      <c r="G39" s="301">
        <f>F39+E39</f>
        <v>0</v>
      </c>
      <c r="H39" s="302">
        <f>+IF(D39&gt;G39,D39,G39)</f>
        <v>0</v>
      </c>
      <c r="I39" s="317">
        <f t="shared" si="0"/>
        <v>0</v>
      </c>
      <c r="J39" s="318"/>
    </row>
    <row r="40" spans="1:10" ht="32.25" customHeight="1">
      <c r="A40" s="292"/>
      <c r="B40" s="293"/>
      <c r="C40" s="293" t="s">
        <v>437</v>
      </c>
      <c r="D40" s="320">
        <v>0</v>
      </c>
      <c r="E40" s="320">
        <v>0</v>
      </c>
      <c r="F40" s="320">
        <v>0</v>
      </c>
      <c r="G40" s="301">
        <f>F40+E40</f>
        <v>0</v>
      </c>
      <c r="H40" s="302">
        <f>+IF(D40&gt;G40,D40,G40)</f>
        <v>0</v>
      </c>
      <c r="I40" s="317">
        <f t="shared" si="0"/>
        <v>0</v>
      </c>
      <c r="J40" s="318"/>
    </row>
    <row r="41" spans="1:10" ht="32.25" customHeight="1">
      <c r="A41" s="292"/>
      <c r="B41" s="324" t="s">
        <v>438</v>
      </c>
      <c r="C41" s="293"/>
      <c r="D41" s="299">
        <f>D42</f>
        <v>0</v>
      </c>
      <c r="E41" s="300">
        <f>E42</f>
        <v>150000000</v>
      </c>
      <c r="F41" s="300">
        <f>F42</f>
        <v>2000000</v>
      </c>
      <c r="G41" s="301">
        <f>G42</f>
        <v>152000000</v>
      </c>
      <c r="H41" s="325">
        <f>H42</f>
        <v>152000000</v>
      </c>
      <c r="I41" s="317">
        <f t="shared" si="0"/>
        <v>152000000</v>
      </c>
      <c r="J41" s="318"/>
    </row>
    <row r="42" spans="1:10" ht="32.25" customHeight="1">
      <c r="A42" s="292"/>
      <c r="B42" s="277"/>
      <c r="C42" s="277" t="s">
        <v>439</v>
      </c>
      <c r="D42" s="320">
        <v>0</v>
      </c>
      <c r="E42" s="320">
        <v>150000000</v>
      </c>
      <c r="F42" s="320">
        <v>2000000</v>
      </c>
      <c r="G42" s="301">
        <f>F42+E42</f>
        <v>152000000</v>
      </c>
      <c r="H42" s="302">
        <f>+IF(D42&gt;G42,D42,G42)</f>
        <v>152000000</v>
      </c>
      <c r="I42" s="327">
        <f t="shared" si="0"/>
        <v>152000000</v>
      </c>
      <c r="J42" s="328"/>
    </row>
    <row r="43" spans="1:11" s="291" customFormat="1" ht="32.25" customHeight="1">
      <c r="A43" s="341" t="s">
        <v>440</v>
      </c>
      <c r="B43" s="284"/>
      <c r="C43" s="284"/>
      <c r="D43" s="285">
        <f>D44</f>
        <v>0</v>
      </c>
      <c r="E43" s="309">
        <f>E44</f>
        <v>0</v>
      </c>
      <c r="F43" s="309">
        <f>F44</f>
        <v>0</v>
      </c>
      <c r="G43" s="311">
        <f>G44</f>
        <v>0</v>
      </c>
      <c r="H43" s="311">
        <f>H44</f>
        <v>0</v>
      </c>
      <c r="I43" s="337">
        <f t="shared" si="0"/>
        <v>0</v>
      </c>
      <c r="J43" s="289"/>
      <c r="K43" s="290"/>
    </row>
    <row r="44" spans="1:10" ht="32.25" customHeight="1">
      <c r="A44" s="292"/>
      <c r="B44" s="342" t="s">
        <v>441</v>
      </c>
      <c r="C44" s="293"/>
      <c r="D44" s="294">
        <f>SUM(D45:D46)</f>
        <v>0</v>
      </c>
      <c r="E44" s="313">
        <f>SUM(E45:E48)</f>
        <v>0</v>
      </c>
      <c r="F44" s="313">
        <f>SUM(F45:F46)</f>
        <v>0</v>
      </c>
      <c r="G44" s="314">
        <f>SUM(G45:G48)</f>
        <v>0</v>
      </c>
      <c r="H44" s="296">
        <f>SUM(H45:H48)</f>
        <v>0</v>
      </c>
      <c r="I44" s="315">
        <f t="shared" si="0"/>
        <v>0</v>
      </c>
      <c r="J44" s="316"/>
    </row>
    <row r="45" spans="1:10" ht="32.25" customHeight="1">
      <c r="A45" s="292"/>
      <c r="B45" s="277"/>
      <c r="C45" s="293" t="s">
        <v>442</v>
      </c>
      <c r="D45" s="320">
        <v>0</v>
      </c>
      <c r="E45" s="320">
        <v>0</v>
      </c>
      <c r="F45" s="320">
        <v>0</v>
      </c>
      <c r="G45" s="301">
        <f>F45+E45</f>
        <v>0</v>
      </c>
      <c r="H45" s="302">
        <f>+IF(D45&gt;G45,D45,G45)</f>
        <v>0</v>
      </c>
      <c r="I45" s="317">
        <f t="shared" si="0"/>
        <v>0</v>
      </c>
      <c r="J45" s="318"/>
    </row>
    <row r="46" spans="1:10" ht="32.25" customHeight="1">
      <c r="A46" s="292"/>
      <c r="B46" s="277"/>
      <c r="C46" s="305" t="s">
        <v>443</v>
      </c>
      <c r="D46" s="320">
        <v>0</v>
      </c>
      <c r="E46" s="320"/>
      <c r="F46" s="320">
        <v>0</v>
      </c>
      <c r="G46" s="301">
        <f>F46+E46</f>
        <v>0</v>
      </c>
      <c r="H46" s="302">
        <f>+IF(D46&gt;G46,D46,G46)</f>
        <v>0</v>
      </c>
      <c r="I46" s="317">
        <f t="shared" si="0"/>
        <v>0</v>
      </c>
      <c r="J46" s="318"/>
    </row>
    <row r="47" spans="1:10" ht="32.25" customHeight="1">
      <c r="A47" s="292"/>
      <c r="B47" s="277"/>
      <c r="C47" s="305" t="s">
        <v>444</v>
      </c>
      <c r="D47" s="320">
        <v>0</v>
      </c>
      <c r="E47" s="320"/>
      <c r="F47" s="320">
        <v>0</v>
      </c>
      <c r="G47" s="301">
        <f>F47+E47</f>
        <v>0</v>
      </c>
      <c r="H47" s="302">
        <f>+IF(D47&gt;G47,D47,G47)</f>
        <v>0</v>
      </c>
      <c r="I47" s="317">
        <f>H47-D47</f>
        <v>0</v>
      </c>
      <c r="J47" s="318"/>
    </row>
    <row r="48" spans="1:10" ht="32.25" customHeight="1">
      <c r="A48" s="292"/>
      <c r="B48" s="343"/>
      <c r="C48" s="277" t="s">
        <v>445</v>
      </c>
      <c r="D48" s="320"/>
      <c r="E48" s="320"/>
      <c r="F48" s="320"/>
      <c r="G48" s="301">
        <f>F48+E48</f>
        <v>0</v>
      </c>
      <c r="H48" s="302">
        <f>+IF(D48&gt;G48,D48,G48)</f>
        <v>0</v>
      </c>
      <c r="I48" s="317">
        <f>H48-D48</f>
        <v>0</v>
      </c>
      <c r="J48" s="318"/>
    </row>
    <row r="49" spans="1:11" s="291" customFormat="1" ht="32.25" customHeight="1">
      <c r="A49" s="283" t="s">
        <v>446</v>
      </c>
      <c r="B49" s="284" t="s">
        <v>447</v>
      </c>
      <c r="C49" s="284"/>
      <c r="D49" s="285">
        <f>D50</f>
        <v>0</v>
      </c>
      <c r="E49" s="309">
        <f>E50</f>
        <v>0</v>
      </c>
      <c r="F49" s="309">
        <f>F50</f>
        <v>0</v>
      </c>
      <c r="G49" s="310">
        <f>G50</f>
        <v>0</v>
      </c>
      <c r="H49" s="311">
        <f>H50</f>
        <v>0</v>
      </c>
      <c r="I49" s="337">
        <f t="shared" si="0"/>
        <v>0</v>
      </c>
      <c r="J49" s="289"/>
      <c r="K49" s="290"/>
    </row>
    <row r="50" spans="1:10" ht="32.25" customHeight="1">
      <c r="A50" s="292"/>
      <c r="B50" s="277"/>
      <c r="C50" s="277" t="s">
        <v>448</v>
      </c>
      <c r="D50" s="278">
        <v>0</v>
      </c>
      <c r="E50" s="344"/>
      <c r="F50" s="344">
        <v>0</v>
      </c>
      <c r="G50" s="301">
        <f>F50+E50</f>
        <v>0</v>
      </c>
      <c r="H50" s="302">
        <f>+IF(D50&gt;G50,D50,G50)</f>
        <v>0</v>
      </c>
      <c r="I50" s="345">
        <f t="shared" si="0"/>
        <v>0</v>
      </c>
      <c r="J50" s="346"/>
    </row>
    <row r="51" spans="1:11" s="291" customFormat="1" ht="32.25" customHeight="1">
      <c r="A51" s="283" t="s">
        <v>449</v>
      </c>
      <c r="B51" s="284"/>
      <c r="C51" s="284"/>
      <c r="D51" s="285">
        <f>+'2020년예산서수입'!C106</f>
        <v>87867496560</v>
      </c>
      <c r="E51" s="309">
        <v>121447947840</v>
      </c>
      <c r="F51" s="309"/>
      <c r="G51" s="310">
        <f>+F51+E51</f>
        <v>121447947840</v>
      </c>
      <c r="H51" s="311">
        <f>+E51</f>
        <v>121447947840</v>
      </c>
      <c r="I51" s="337">
        <f>H51-D51</f>
        <v>33580451280</v>
      </c>
      <c r="J51" s="347" t="s">
        <v>581</v>
      </c>
      <c r="K51" s="290"/>
    </row>
    <row r="52" spans="1:10" ht="20.25" customHeight="1">
      <c r="A52" s="348"/>
      <c r="B52" s="348"/>
      <c r="C52" s="348"/>
      <c r="D52" s="348"/>
      <c r="E52" s="349"/>
      <c r="F52" s="349"/>
      <c r="G52" s="349"/>
      <c r="H52" s="349"/>
      <c r="I52" s="349"/>
      <c r="J52" s="350"/>
    </row>
    <row r="53" spans="1:10" ht="20.25" customHeight="1">
      <c r="A53" s="348"/>
      <c r="B53" s="348"/>
      <c r="C53" s="348"/>
      <c r="D53" s="348"/>
      <c r="E53" s="349"/>
      <c r="F53" s="349"/>
      <c r="G53" s="349"/>
      <c r="H53" s="349"/>
      <c r="I53" s="349"/>
      <c r="J53" s="350"/>
    </row>
    <row r="54" spans="1:10" ht="20.25" customHeight="1">
      <c r="A54" s="348"/>
      <c r="B54" s="348"/>
      <c r="C54" s="348"/>
      <c r="D54" s="351">
        <f>217613937909-42304174259</f>
        <v>175309763650</v>
      </c>
      <c r="E54" s="731">
        <f>155509623426-34061675586</f>
        <v>121447947840</v>
      </c>
      <c r="G54" s="349"/>
      <c r="H54" s="349"/>
      <c r="I54" s="349"/>
      <c r="J54" s="350"/>
    </row>
    <row r="55" spans="1:10" ht="20.25" customHeight="1">
      <c r="A55" s="348"/>
      <c r="B55" s="348"/>
      <c r="C55" s="348"/>
      <c r="D55" s="348"/>
      <c r="E55" s="349"/>
      <c r="F55" s="349"/>
      <c r="G55" s="349"/>
      <c r="H55" s="349"/>
      <c r="I55" s="349"/>
      <c r="J55" s="350"/>
    </row>
    <row r="56" spans="1:10" ht="20.25" customHeight="1">
      <c r="A56" s="348"/>
      <c r="B56" s="348"/>
      <c r="C56" s="348"/>
      <c r="D56" s="348"/>
      <c r="E56" s="349"/>
      <c r="F56" s="349"/>
      <c r="G56" s="349"/>
      <c r="H56" s="349"/>
      <c r="I56" s="349"/>
      <c r="J56" s="350"/>
    </row>
    <row r="57" spans="1:10" ht="20.25" customHeight="1">
      <c r="A57" s="348"/>
      <c r="B57" s="348"/>
      <c r="C57" s="348"/>
      <c r="D57" s="348"/>
      <c r="E57" s="731">
        <v>155509623426</v>
      </c>
      <c r="F57" s="731">
        <v>34061675586</v>
      </c>
      <c r="G57" s="349"/>
      <c r="H57" s="349"/>
      <c r="I57" s="349"/>
      <c r="J57" s="350"/>
    </row>
    <row r="58" spans="1:10" ht="20.25" customHeight="1">
      <c r="A58" s="348"/>
      <c r="B58" s="348"/>
      <c r="C58" s="348"/>
      <c r="D58" s="348"/>
      <c r="E58" s="349"/>
      <c r="F58" s="349"/>
      <c r="G58" s="349"/>
      <c r="H58" s="349"/>
      <c r="I58" s="349"/>
      <c r="J58" s="350"/>
    </row>
    <row r="59" spans="1:10" ht="20.25" customHeight="1">
      <c r="A59" s="348"/>
      <c r="B59" s="348"/>
      <c r="C59" s="348"/>
      <c r="D59" s="348"/>
      <c r="E59" s="349"/>
      <c r="F59" s="349"/>
      <c r="G59" s="349"/>
      <c r="H59" s="349"/>
      <c r="I59" s="349"/>
      <c r="J59" s="350"/>
    </row>
    <row r="60" spans="1:10" ht="20.25" customHeight="1">
      <c r="A60" s="348"/>
      <c r="B60" s="348"/>
      <c r="C60" s="348"/>
      <c r="D60" s="348"/>
      <c r="E60" s="349"/>
      <c r="F60" s="349"/>
      <c r="G60" s="349"/>
      <c r="H60" s="349"/>
      <c r="I60" s="349"/>
      <c r="J60" s="350"/>
    </row>
    <row r="61" spans="1:10" ht="20.25" customHeight="1">
      <c r="A61" s="348"/>
      <c r="B61" s="348"/>
      <c r="C61" s="348"/>
      <c r="D61" s="348"/>
      <c r="E61" s="349"/>
      <c r="F61" s="349"/>
      <c r="G61" s="349"/>
      <c r="H61" s="349"/>
      <c r="I61" s="349"/>
      <c r="J61" s="350"/>
    </row>
    <row r="62" spans="1:10" ht="20.25" customHeight="1">
      <c r="A62" s="348"/>
      <c r="B62" s="348"/>
      <c r="C62" s="348"/>
      <c r="D62" s="348"/>
      <c r="E62" s="349"/>
      <c r="F62" s="349"/>
      <c r="G62" s="349"/>
      <c r="H62" s="349"/>
      <c r="I62" s="349"/>
      <c r="J62" s="350"/>
    </row>
    <row r="63" spans="1:10" ht="20.25" customHeight="1">
      <c r="A63" s="348"/>
      <c r="B63" s="348"/>
      <c r="C63" s="348"/>
      <c r="D63" s="348"/>
      <c r="E63" s="349"/>
      <c r="F63" s="349"/>
      <c r="G63" s="349"/>
      <c r="H63" s="349"/>
      <c r="I63" s="349"/>
      <c r="J63" s="350"/>
    </row>
    <row r="64" spans="1:10" ht="20.25" customHeight="1">
      <c r="A64" s="348"/>
      <c r="B64" s="348"/>
      <c r="C64" s="348"/>
      <c r="D64" s="348"/>
      <c r="E64" s="349"/>
      <c r="F64" s="349"/>
      <c r="G64" s="349"/>
      <c r="H64" s="349"/>
      <c r="I64" s="349"/>
      <c r="J64" s="350"/>
    </row>
    <row r="65" spans="1:10" ht="20.25" customHeight="1">
      <c r="A65" s="348"/>
      <c r="B65" s="348"/>
      <c r="C65" s="348"/>
      <c r="D65" s="348"/>
      <c r="E65" s="349"/>
      <c r="F65" s="349"/>
      <c r="G65" s="349"/>
      <c r="H65" s="349"/>
      <c r="I65" s="349"/>
      <c r="J65" s="350"/>
    </row>
    <row r="66" spans="1:10" ht="20.25" customHeight="1">
      <c r="A66" s="348"/>
      <c r="B66" s="348"/>
      <c r="C66" s="348"/>
      <c r="D66" s="348"/>
      <c r="E66" s="349"/>
      <c r="F66" s="349"/>
      <c r="G66" s="349"/>
      <c r="H66" s="349"/>
      <c r="I66" s="349"/>
      <c r="J66" s="350"/>
    </row>
    <row r="67" spans="1:10" ht="20.25" customHeight="1">
      <c r="A67" s="348"/>
      <c r="B67" s="348"/>
      <c r="C67" s="348"/>
      <c r="D67" s="348"/>
      <c r="E67" s="349"/>
      <c r="F67" s="349"/>
      <c r="G67" s="349"/>
      <c r="H67" s="349"/>
      <c r="I67" s="349"/>
      <c r="J67" s="350"/>
    </row>
    <row r="68" spans="1:10" ht="20.25" customHeight="1">
      <c r="A68" s="348"/>
      <c r="B68" s="348"/>
      <c r="C68" s="348"/>
      <c r="D68" s="348"/>
      <c r="E68" s="349"/>
      <c r="F68" s="349"/>
      <c r="G68" s="349"/>
      <c r="H68" s="349"/>
      <c r="I68" s="349"/>
      <c r="J68" s="350"/>
    </row>
    <row r="69" spans="1:10" ht="20.25" customHeight="1">
      <c r="A69" s="348"/>
      <c r="B69" s="348"/>
      <c r="C69" s="348"/>
      <c r="D69" s="348"/>
      <c r="E69" s="349"/>
      <c r="F69" s="349"/>
      <c r="G69" s="349"/>
      <c r="H69" s="349"/>
      <c r="I69" s="349"/>
      <c r="J69" s="350"/>
    </row>
    <row r="70" spans="1:10" ht="20.25" customHeight="1">
      <c r="A70" s="348"/>
      <c r="B70" s="348"/>
      <c r="C70" s="348"/>
      <c r="D70" s="348"/>
      <c r="E70" s="349"/>
      <c r="F70" s="349"/>
      <c r="G70" s="349"/>
      <c r="H70" s="349"/>
      <c r="I70" s="349"/>
      <c r="J70" s="350"/>
    </row>
    <row r="71" spans="1:10" ht="20.25" customHeight="1">
      <c r="A71" s="348"/>
      <c r="B71" s="348"/>
      <c r="C71" s="348"/>
      <c r="D71" s="348"/>
      <c r="E71" s="349"/>
      <c r="F71" s="349"/>
      <c r="G71" s="349"/>
      <c r="H71" s="349"/>
      <c r="I71" s="349"/>
      <c r="J71" s="350"/>
    </row>
    <row r="72" spans="1:10" ht="20.25" customHeight="1">
      <c r="A72" s="348"/>
      <c r="B72" s="348"/>
      <c r="C72" s="348"/>
      <c r="D72" s="348"/>
      <c r="E72" s="349"/>
      <c r="F72" s="349"/>
      <c r="G72" s="349"/>
      <c r="H72" s="349"/>
      <c r="I72" s="349"/>
      <c r="J72" s="350"/>
    </row>
    <row r="73" spans="1:10" ht="20.25" customHeight="1">
      <c r="A73" s="348"/>
      <c r="B73" s="348"/>
      <c r="C73" s="348"/>
      <c r="D73" s="348"/>
      <c r="E73" s="349"/>
      <c r="F73" s="349"/>
      <c r="G73" s="349"/>
      <c r="H73" s="349"/>
      <c r="I73" s="349"/>
      <c r="J73" s="350"/>
    </row>
    <row r="74" spans="1:10" ht="20.25" customHeight="1">
      <c r="A74" s="348"/>
      <c r="B74" s="348"/>
      <c r="C74" s="348"/>
      <c r="D74" s="348"/>
      <c r="E74" s="349"/>
      <c r="F74" s="349"/>
      <c r="G74" s="349"/>
      <c r="H74" s="349"/>
      <c r="I74" s="349"/>
      <c r="J74" s="350"/>
    </row>
    <row r="75" spans="1:10" ht="20.25" customHeight="1">
      <c r="A75" s="348"/>
      <c r="B75" s="348"/>
      <c r="C75" s="348"/>
      <c r="D75" s="348"/>
      <c r="E75" s="349"/>
      <c r="F75" s="349"/>
      <c r="G75" s="349"/>
      <c r="H75" s="349"/>
      <c r="I75" s="349"/>
      <c r="J75" s="350"/>
    </row>
    <row r="76" spans="1:9" ht="20.25" customHeight="1">
      <c r="A76" s="352"/>
      <c r="B76" s="352"/>
      <c r="C76" s="352"/>
      <c r="D76" s="352"/>
      <c r="E76" s="353"/>
      <c r="F76" s="353"/>
      <c r="G76" s="353"/>
      <c r="H76" s="353"/>
      <c r="I76" s="353"/>
    </row>
    <row r="77" spans="1:9" ht="20.25" customHeight="1">
      <c r="A77" s="352"/>
      <c r="B77" s="352"/>
      <c r="C77" s="352"/>
      <c r="D77" s="352"/>
      <c r="E77" s="353"/>
      <c r="F77" s="353"/>
      <c r="G77" s="353"/>
      <c r="H77" s="353"/>
      <c r="I77" s="353"/>
    </row>
    <row r="78" spans="1:9" ht="20.25" customHeight="1">
      <c r="A78" s="352"/>
      <c r="B78" s="352"/>
      <c r="C78" s="352"/>
      <c r="D78" s="352"/>
      <c r="E78" s="353"/>
      <c r="F78" s="353"/>
      <c r="G78" s="353"/>
      <c r="H78" s="353"/>
      <c r="I78" s="353"/>
    </row>
    <row r="79" spans="1:9" ht="20.25" customHeight="1">
      <c r="A79" s="352"/>
      <c r="B79" s="352"/>
      <c r="C79" s="352"/>
      <c r="D79" s="352"/>
      <c r="E79" s="353"/>
      <c r="F79" s="353"/>
      <c r="G79" s="353"/>
      <c r="H79" s="353"/>
      <c r="I79" s="353"/>
    </row>
    <row r="80" spans="1:9" ht="20.25" customHeight="1">
      <c r="A80" s="352"/>
      <c r="B80" s="352"/>
      <c r="C80" s="352"/>
      <c r="D80" s="352"/>
      <c r="E80" s="353"/>
      <c r="F80" s="353"/>
      <c r="G80" s="353"/>
      <c r="H80" s="353"/>
      <c r="I80" s="353"/>
    </row>
    <row r="81" spans="1:9" ht="20.25" customHeight="1">
      <c r="A81" s="352"/>
      <c r="B81" s="352"/>
      <c r="C81" s="352"/>
      <c r="D81" s="352"/>
      <c r="E81" s="353"/>
      <c r="F81" s="353"/>
      <c r="G81" s="353"/>
      <c r="H81" s="353"/>
      <c r="I81" s="353"/>
    </row>
    <row r="82" spans="1:9" ht="20.25" customHeight="1">
      <c r="A82" s="352"/>
      <c r="B82" s="352"/>
      <c r="C82" s="352"/>
      <c r="D82" s="352"/>
      <c r="E82" s="353"/>
      <c r="F82" s="353"/>
      <c r="G82" s="353"/>
      <c r="H82" s="353"/>
      <c r="I82" s="353"/>
    </row>
    <row r="83" spans="1:9" ht="20.25" customHeight="1">
      <c r="A83" s="352"/>
      <c r="B83" s="352"/>
      <c r="C83" s="352"/>
      <c r="D83" s="352"/>
      <c r="E83" s="353"/>
      <c r="F83" s="353"/>
      <c r="G83" s="353"/>
      <c r="H83" s="353"/>
      <c r="I83" s="353"/>
    </row>
    <row r="84" spans="1:9" ht="20.25" customHeight="1">
      <c r="A84" s="352"/>
      <c r="B84" s="352"/>
      <c r="C84" s="352"/>
      <c r="D84" s="352"/>
      <c r="E84" s="353"/>
      <c r="F84" s="353"/>
      <c r="G84" s="353"/>
      <c r="H84" s="353"/>
      <c r="I84" s="353"/>
    </row>
    <row r="85" spans="1:9" ht="20.25" customHeight="1">
      <c r="A85" s="352"/>
      <c r="B85" s="352"/>
      <c r="C85" s="352"/>
      <c r="D85" s="352"/>
      <c r="E85" s="353"/>
      <c r="F85" s="353"/>
      <c r="G85" s="353"/>
      <c r="H85" s="353"/>
      <c r="I85" s="353"/>
    </row>
    <row r="86" spans="1:9" ht="20.25" customHeight="1">
      <c r="A86" s="352"/>
      <c r="B86" s="352"/>
      <c r="C86" s="352"/>
      <c r="D86" s="352"/>
      <c r="E86" s="353"/>
      <c r="F86" s="353"/>
      <c r="G86" s="353"/>
      <c r="H86" s="353"/>
      <c r="I86" s="353"/>
    </row>
    <row r="87" spans="1:9" ht="20.25" customHeight="1">
      <c r="A87" s="352"/>
      <c r="B87" s="352"/>
      <c r="C87" s="352"/>
      <c r="D87" s="352"/>
      <c r="E87" s="353"/>
      <c r="F87" s="353"/>
      <c r="G87" s="353"/>
      <c r="H87" s="353"/>
      <c r="I87" s="353"/>
    </row>
    <row r="88" spans="1:9" ht="20.25" customHeight="1">
      <c r="A88" s="352"/>
      <c r="B88" s="352"/>
      <c r="C88" s="352"/>
      <c r="D88" s="352"/>
      <c r="E88" s="353"/>
      <c r="F88" s="353"/>
      <c r="G88" s="353"/>
      <c r="H88" s="353"/>
      <c r="I88" s="353"/>
    </row>
    <row r="89" spans="1:9" ht="20.25" customHeight="1">
      <c r="A89" s="352"/>
      <c r="B89" s="352"/>
      <c r="C89" s="352"/>
      <c r="D89" s="352"/>
      <c r="E89" s="353"/>
      <c r="F89" s="353"/>
      <c r="G89" s="353"/>
      <c r="H89" s="353"/>
      <c r="I89" s="353"/>
    </row>
    <row r="90" spans="1:9" ht="20.25" customHeight="1">
      <c r="A90" s="352"/>
      <c r="B90" s="352"/>
      <c r="C90" s="352"/>
      <c r="D90" s="352"/>
      <c r="E90" s="353"/>
      <c r="F90" s="353"/>
      <c r="G90" s="353"/>
      <c r="H90" s="353"/>
      <c r="I90" s="353"/>
    </row>
    <row r="91" spans="1:9" ht="20.25" customHeight="1">
      <c r="A91" s="352"/>
      <c r="B91" s="352"/>
      <c r="C91" s="352"/>
      <c r="D91" s="352"/>
      <c r="E91" s="353"/>
      <c r="F91" s="353"/>
      <c r="G91" s="353"/>
      <c r="H91" s="353"/>
      <c r="I91" s="353"/>
    </row>
    <row r="92" spans="1:9" ht="20.25" customHeight="1">
      <c r="A92" s="352"/>
      <c r="B92" s="352"/>
      <c r="C92" s="352"/>
      <c r="D92" s="352"/>
      <c r="E92" s="353"/>
      <c r="F92" s="353"/>
      <c r="G92" s="353"/>
      <c r="H92" s="353"/>
      <c r="I92" s="353"/>
    </row>
    <row r="93" spans="1:9" ht="20.25" customHeight="1">
      <c r="A93" s="352"/>
      <c r="B93" s="352"/>
      <c r="C93" s="352"/>
      <c r="D93" s="352"/>
      <c r="E93" s="353"/>
      <c r="F93" s="353"/>
      <c r="G93" s="353"/>
      <c r="H93" s="353"/>
      <c r="I93" s="353"/>
    </row>
    <row r="94" spans="1:9" ht="20.25" customHeight="1">
      <c r="A94" s="352"/>
      <c r="B94" s="352"/>
      <c r="C94" s="352"/>
      <c r="D94" s="352"/>
      <c r="E94" s="353"/>
      <c r="F94" s="353"/>
      <c r="G94" s="353"/>
      <c r="H94" s="353"/>
      <c r="I94" s="353"/>
    </row>
    <row r="95" spans="1:9" ht="20.25" customHeight="1">
      <c r="A95" s="352"/>
      <c r="B95" s="352"/>
      <c r="C95" s="352"/>
      <c r="D95" s="352"/>
      <c r="E95" s="353"/>
      <c r="F95" s="353"/>
      <c r="G95" s="353"/>
      <c r="H95" s="353"/>
      <c r="I95" s="353"/>
    </row>
    <row r="96" spans="1:9" ht="20.25" customHeight="1">
      <c r="A96" s="352"/>
      <c r="B96" s="352"/>
      <c r="C96" s="352"/>
      <c r="D96" s="352"/>
      <c r="E96" s="353"/>
      <c r="F96" s="353"/>
      <c r="G96" s="353"/>
      <c r="H96" s="353"/>
      <c r="I96" s="353"/>
    </row>
    <row r="97" spans="1:9" ht="20.25" customHeight="1">
      <c r="A97" s="352"/>
      <c r="B97" s="352"/>
      <c r="C97" s="352"/>
      <c r="D97" s="352"/>
      <c r="E97" s="353"/>
      <c r="F97" s="353"/>
      <c r="G97" s="353"/>
      <c r="H97" s="353"/>
      <c r="I97" s="353"/>
    </row>
    <row r="98" spans="1:9" ht="20.25" customHeight="1">
      <c r="A98" s="352"/>
      <c r="B98" s="352"/>
      <c r="C98" s="352"/>
      <c r="D98" s="352"/>
      <c r="E98" s="353"/>
      <c r="F98" s="353"/>
      <c r="G98" s="353"/>
      <c r="H98" s="353"/>
      <c r="I98" s="353"/>
    </row>
    <row r="99" spans="1:9" ht="20.25" customHeight="1">
      <c r="A99" s="352"/>
      <c r="B99" s="352"/>
      <c r="C99" s="352"/>
      <c r="D99" s="352"/>
      <c r="E99" s="353"/>
      <c r="F99" s="353"/>
      <c r="G99" s="353"/>
      <c r="H99" s="353"/>
      <c r="I99" s="353"/>
    </row>
    <row r="100" spans="1:9" ht="20.25" customHeight="1">
      <c r="A100" s="352"/>
      <c r="B100" s="352"/>
      <c r="C100" s="352"/>
      <c r="D100" s="352"/>
      <c r="E100" s="353"/>
      <c r="F100" s="353"/>
      <c r="G100" s="353"/>
      <c r="H100" s="353"/>
      <c r="I100" s="353"/>
    </row>
    <row r="101" spans="1:9" ht="20.25" customHeight="1">
      <c r="A101" s="352"/>
      <c r="B101" s="352"/>
      <c r="C101" s="352"/>
      <c r="D101" s="352"/>
      <c r="E101" s="353"/>
      <c r="F101" s="353"/>
      <c r="G101" s="353"/>
      <c r="H101" s="353"/>
      <c r="I101" s="353"/>
    </row>
    <row r="102" spans="1:9" ht="20.25" customHeight="1">
      <c r="A102" s="352"/>
      <c r="B102" s="352"/>
      <c r="C102" s="352"/>
      <c r="D102" s="352"/>
      <c r="E102" s="353"/>
      <c r="F102" s="353"/>
      <c r="G102" s="353"/>
      <c r="H102" s="353"/>
      <c r="I102" s="353"/>
    </row>
    <row r="103" spans="1:9" ht="20.25" customHeight="1">
      <c r="A103" s="352"/>
      <c r="B103" s="352"/>
      <c r="C103" s="352"/>
      <c r="D103" s="352"/>
      <c r="E103" s="353"/>
      <c r="F103" s="353"/>
      <c r="G103" s="353"/>
      <c r="H103" s="353"/>
      <c r="I103" s="353"/>
    </row>
    <row r="104" spans="1:9" ht="20.25" customHeight="1">
      <c r="A104" s="352"/>
      <c r="B104" s="352"/>
      <c r="C104" s="352"/>
      <c r="D104" s="352"/>
      <c r="E104" s="353"/>
      <c r="F104" s="353"/>
      <c r="G104" s="353"/>
      <c r="H104" s="353"/>
      <c r="I104" s="353"/>
    </row>
    <row r="105" spans="1:9" ht="20.25" customHeight="1">
      <c r="A105" s="352"/>
      <c r="B105" s="352"/>
      <c r="C105" s="352"/>
      <c r="D105" s="352"/>
      <c r="E105" s="353"/>
      <c r="F105" s="353"/>
      <c r="G105" s="353"/>
      <c r="H105" s="353"/>
      <c r="I105" s="353"/>
    </row>
    <row r="106" spans="1:9" ht="20.25" customHeight="1">
      <c r="A106" s="352"/>
      <c r="B106" s="352"/>
      <c r="C106" s="352"/>
      <c r="D106" s="352"/>
      <c r="E106" s="353"/>
      <c r="F106" s="353"/>
      <c r="G106" s="353"/>
      <c r="H106" s="353"/>
      <c r="I106" s="353"/>
    </row>
    <row r="107" spans="1:9" ht="20.25" customHeight="1">
      <c r="A107" s="352"/>
      <c r="B107" s="352"/>
      <c r="C107" s="352"/>
      <c r="D107" s="352"/>
      <c r="E107" s="353"/>
      <c r="F107" s="353"/>
      <c r="G107" s="353"/>
      <c r="H107" s="353"/>
      <c r="I107" s="353"/>
    </row>
    <row r="108" spans="1:9" ht="20.25" customHeight="1">
      <c r="A108" s="352"/>
      <c r="B108" s="352"/>
      <c r="C108" s="352"/>
      <c r="D108" s="352"/>
      <c r="E108" s="353"/>
      <c r="F108" s="353"/>
      <c r="G108" s="353"/>
      <c r="H108" s="353"/>
      <c r="I108" s="353"/>
    </row>
    <row r="109" spans="1:9" ht="20.25" customHeight="1">
      <c r="A109" s="352"/>
      <c r="B109" s="352"/>
      <c r="C109" s="352"/>
      <c r="D109" s="352"/>
      <c r="E109" s="353"/>
      <c r="F109" s="353"/>
      <c r="G109" s="353"/>
      <c r="H109" s="353"/>
      <c r="I109" s="353"/>
    </row>
    <row r="110" spans="1:9" ht="20.25" customHeight="1">
      <c r="A110" s="352"/>
      <c r="B110" s="352"/>
      <c r="C110" s="352"/>
      <c r="D110" s="352"/>
      <c r="E110" s="353"/>
      <c r="F110" s="353"/>
      <c r="G110" s="353"/>
      <c r="H110" s="353"/>
      <c r="I110" s="353"/>
    </row>
    <row r="111" spans="1:9" ht="20.25" customHeight="1">
      <c r="A111" s="352"/>
      <c r="B111" s="352"/>
      <c r="C111" s="352"/>
      <c r="D111" s="352"/>
      <c r="E111" s="353"/>
      <c r="F111" s="353"/>
      <c r="G111" s="353"/>
      <c r="H111" s="353"/>
      <c r="I111" s="353"/>
    </row>
    <row r="112" spans="1:9" ht="20.25" customHeight="1">
      <c r="A112" s="352"/>
      <c r="B112" s="352"/>
      <c r="C112" s="352"/>
      <c r="D112" s="352"/>
      <c r="E112" s="353"/>
      <c r="F112" s="353"/>
      <c r="G112" s="353"/>
      <c r="H112" s="353"/>
      <c r="I112" s="353"/>
    </row>
    <row r="113" spans="1:9" ht="20.25" customHeight="1">
      <c r="A113" s="352"/>
      <c r="B113" s="352"/>
      <c r="C113" s="352"/>
      <c r="D113" s="352"/>
      <c r="E113" s="353"/>
      <c r="F113" s="353"/>
      <c r="G113" s="353"/>
      <c r="H113" s="353"/>
      <c r="I113" s="353"/>
    </row>
    <row r="114" spans="1:9" ht="20.25" customHeight="1">
      <c r="A114" s="352"/>
      <c r="B114" s="352"/>
      <c r="C114" s="352"/>
      <c r="D114" s="352"/>
      <c r="E114" s="353"/>
      <c r="F114" s="353"/>
      <c r="G114" s="353"/>
      <c r="H114" s="353"/>
      <c r="I114" s="353"/>
    </row>
    <row r="115" spans="1:9" ht="20.25" customHeight="1">
      <c r="A115" s="352"/>
      <c r="B115" s="352"/>
      <c r="C115" s="352"/>
      <c r="D115" s="352"/>
      <c r="E115" s="353"/>
      <c r="F115" s="353"/>
      <c r="G115" s="353"/>
      <c r="H115" s="353"/>
      <c r="I115" s="353"/>
    </row>
    <row r="116" spans="1:9" ht="20.25" customHeight="1">
      <c r="A116" s="352"/>
      <c r="B116" s="352"/>
      <c r="C116" s="352"/>
      <c r="D116" s="352"/>
      <c r="E116" s="353"/>
      <c r="F116" s="353"/>
      <c r="G116" s="353"/>
      <c r="H116" s="353"/>
      <c r="I116" s="353"/>
    </row>
    <row r="117" spans="1:9" ht="20.25" customHeight="1">
      <c r="A117" s="352"/>
      <c r="B117" s="352"/>
      <c r="C117" s="352"/>
      <c r="D117" s="352"/>
      <c r="E117" s="353"/>
      <c r="F117" s="353"/>
      <c r="G117" s="353"/>
      <c r="H117" s="353"/>
      <c r="I117" s="353"/>
    </row>
    <row r="118" spans="1:9" ht="20.25" customHeight="1">
      <c r="A118" s="352"/>
      <c r="B118" s="352"/>
      <c r="C118" s="352"/>
      <c r="D118" s="352"/>
      <c r="E118" s="353"/>
      <c r="F118" s="353"/>
      <c r="G118" s="353"/>
      <c r="H118" s="353"/>
      <c r="I118" s="353"/>
    </row>
    <row r="119" spans="1:9" ht="20.25" customHeight="1">
      <c r="A119" s="352"/>
      <c r="B119" s="352"/>
      <c r="C119" s="352"/>
      <c r="D119" s="352"/>
      <c r="E119" s="353"/>
      <c r="F119" s="353"/>
      <c r="G119" s="353"/>
      <c r="H119" s="353"/>
      <c r="I119" s="353"/>
    </row>
    <row r="120" spans="1:9" ht="20.25" customHeight="1">
      <c r="A120" s="352"/>
      <c r="B120" s="352"/>
      <c r="C120" s="352"/>
      <c r="D120" s="352"/>
      <c r="E120" s="353"/>
      <c r="F120" s="353"/>
      <c r="G120" s="353"/>
      <c r="H120" s="353"/>
      <c r="I120" s="353"/>
    </row>
    <row r="121" spans="1:9" ht="20.25" customHeight="1">
      <c r="A121" s="352"/>
      <c r="B121" s="352"/>
      <c r="C121" s="352"/>
      <c r="D121" s="352"/>
      <c r="E121" s="353"/>
      <c r="F121" s="353"/>
      <c r="G121" s="353"/>
      <c r="H121" s="353"/>
      <c r="I121" s="353"/>
    </row>
    <row r="122" spans="1:9" ht="20.25" customHeight="1">
      <c r="A122" s="352"/>
      <c r="B122" s="352"/>
      <c r="C122" s="352"/>
      <c r="D122" s="352"/>
      <c r="E122" s="353"/>
      <c r="F122" s="353"/>
      <c r="G122" s="353"/>
      <c r="H122" s="353"/>
      <c r="I122" s="353"/>
    </row>
    <row r="123" spans="1:9" ht="20.25" customHeight="1">
      <c r="A123" s="352"/>
      <c r="B123" s="352"/>
      <c r="C123" s="352"/>
      <c r="D123" s="352"/>
      <c r="E123" s="353"/>
      <c r="F123" s="353"/>
      <c r="G123" s="353"/>
      <c r="H123" s="353"/>
      <c r="I123" s="353"/>
    </row>
    <row r="124" spans="1:9" ht="20.25" customHeight="1">
      <c r="A124" s="352"/>
      <c r="B124" s="352"/>
      <c r="C124" s="352"/>
      <c r="D124" s="352"/>
      <c r="E124" s="353"/>
      <c r="F124" s="353"/>
      <c r="G124" s="353"/>
      <c r="H124" s="353"/>
      <c r="I124" s="353"/>
    </row>
    <row r="125" spans="1:9" ht="20.25" customHeight="1">
      <c r="A125" s="352"/>
      <c r="B125" s="352"/>
      <c r="C125" s="352"/>
      <c r="D125" s="352"/>
      <c r="E125" s="353"/>
      <c r="F125" s="353"/>
      <c r="G125" s="353"/>
      <c r="H125" s="353"/>
      <c r="I125" s="353"/>
    </row>
    <row r="126" spans="1:9" ht="20.25" customHeight="1">
      <c r="A126" s="352"/>
      <c r="B126" s="352"/>
      <c r="C126" s="352"/>
      <c r="D126" s="352"/>
      <c r="E126" s="353"/>
      <c r="F126" s="353"/>
      <c r="G126" s="353"/>
      <c r="H126" s="353"/>
      <c r="I126" s="353"/>
    </row>
    <row r="127" spans="1:9" ht="20.25" customHeight="1">
      <c r="A127" s="352"/>
      <c r="B127" s="352"/>
      <c r="C127" s="352"/>
      <c r="D127" s="352"/>
      <c r="E127" s="353"/>
      <c r="F127" s="353"/>
      <c r="G127" s="353"/>
      <c r="H127" s="353"/>
      <c r="I127" s="353"/>
    </row>
    <row r="128" spans="1:9" ht="20.25" customHeight="1">
      <c r="A128" s="352"/>
      <c r="B128" s="352"/>
      <c r="C128" s="352"/>
      <c r="D128" s="352"/>
      <c r="E128" s="353"/>
      <c r="F128" s="353"/>
      <c r="G128" s="353"/>
      <c r="H128" s="353"/>
      <c r="I128" s="353"/>
    </row>
    <row r="129" spans="1:9" ht="20.25" customHeight="1">
      <c r="A129" s="352"/>
      <c r="B129" s="352"/>
      <c r="C129" s="352"/>
      <c r="D129" s="352"/>
      <c r="E129" s="353"/>
      <c r="F129" s="353"/>
      <c r="G129" s="353"/>
      <c r="H129" s="353"/>
      <c r="I129" s="353"/>
    </row>
    <row r="130" spans="1:9" ht="20.25" customHeight="1">
      <c r="A130" s="352"/>
      <c r="B130" s="352"/>
      <c r="C130" s="352"/>
      <c r="D130" s="352"/>
      <c r="E130" s="353"/>
      <c r="F130" s="353"/>
      <c r="G130" s="353"/>
      <c r="H130" s="353"/>
      <c r="I130" s="353"/>
    </row>
    <row r="131" spans="1:9" ht="20.25" customHeight="1">
      <c r="A131" s="352"/>
      <c r="B131" s="352"/>
      <c r="C131" s="352"/>
      <c r="D131" s="352"/>
      <c r="E131" s="353"/>
      <c r="F131" s="353"/>
      <c r="G131" s="353"/>
      <c r="H131" s="353"/>
      <c r="I131" s="353"/>
    </row>
    <row r="132" spans="1:9" ht="20.25" customHeight="1">
      <c r="A132" s="352"/>
      <c r="B132" s="352"/>
      <c r="C132" s="352"/>
      <c r="D132" s="352"/>
      <c r="E132" s="353"/>
      <c r="F132" s="353"/>
      <c r="G132" s="353"/>
      <c r="H132" s="353"/>
      <c r="I132" s="353"/>
    </row>
    <row r="133" spans="1:9" ht="20.25" customHeight="1">
      <c r="A133" s="352"/>
      <c r="B133" s="352"/>
      <c r="C133" s="352"/>
      <c r="D133" s="352"/>
      <c r="E133" s="353"/>
      <c r="F133" s="353"/>
      <c r="G133" s="353"/>
      <c r="H133" s="353"/>
      <c r="I133" s="353"/>
    </row>
    <row r="134" spans="1:9" ht="20.25" customHeight="1">
      <c r="A134" s="352"/>
      <c r="B134" s="352"/>
      <c r="C134" s="352"/>
      <c r="D134" s="352"/>
      <c r="E134" s="353"/>
      <c r="F134" s="353"/>
      <c r="G134" s="353"/>
      <c r="H134" s="353"/>
      <c r="I134" s="353"/>
    </row>
    <row r="135" spans="1:9" ht="20.25" customHeight="1">
      <c r="A135" s="352"/>
      <c r="B135" s="352"/>
      <c r="C135" s="352"/>
      <c r="D135" s="352"/>
      <c r="E135" s="353"/>
      <c r="F135" s="353"/>
      <c r="G135" s="353"/>
      <c r="H135" s="353"/>
      <c r="I135" s="353"/>
    </row>
    <row r="136" spans="1:9" ht="20.25" customHeight="1">
      <c r="A136" s="352"/>
      <c r="B136" s="352"/>
      <c r="C136" s="352"/>
      <c r="D136" s="352"/>
      <c r="E136" s="353"/>
      <c r="F136" s="353"/>
      <c r="G136" s="353"/>
      <c r="H136" s="353"/>
      <c r="I136" s="353"/>
    </row>
    <row r="137" spans="1:9" ht="20.25" customHeight="1">
      <c r="A137" s="352"/>
      <c r="B137" s="352"/>
      <c r="C137" s="352"/>
      <c r="D137" s="352"/>
      <c r="E137" s="353"/>
      <c r="F137" s="353"/>
      <c r="G137" s="353"/>
      <c r="H137" s="353"/>
      <c r="I137" s="353"/>
    </row>
    <row r="138" spans="1:9" ht="20.25" customHeight="1">
      <c r="A138" s="352"/>
      <c r="B138" s="352"/>
      <c r="C138" s="352"/>
      <c r="D138" s="352"/>
      <c r="E138" s="353"/>
      <c r="F138" s="353"/>
      <c r="G138" s="353"/>
      <c r="H138" s="353"/>
      <c r="I138" s="353"/>
    </row>
    <row r="139" spans="1:9" ht="20.25" customHeight="1">
      <c r="A139" s="352"/>
      <c r="B139" s="352"/>
      <c r="C139" s="352"/>
      <c r="D139" s="352"/>
      <c r="E139" s="353"/>
      <c r="F139" s="353"/>
      <c r="G139" s="353"/>
      <c r="H139" s="353"/>
      <c r="I139" s="353"/>
    </row>
    <row r="140" spans="1:9" ht="20.25" customHeight="1">
      <c r="A140" s="352"/>
      <c r="B140" s="352"/>
      <c r="C140" s="352"/>
      <c r="D140" s="352"/>
      <c r="E140" s="353"/>
      <c r="F140" s="353"/>
      <c r="G140" s="353"/>
      <c r="H140" s="353"/>
      <c r="I140" s="353"/>
    </row>
    <row r="141" spans="1:9" ht="20.25" customHeight="1">
      <c r="A141" s="352"/>
      <c r="B141" s="352"/>
      <c r="C141" s="352"/>
      <c r="D141" s="352"/>
      <c r="E141" s="353"/>
      <c r="F141" s="353"/>
      <c r="G141" s="353"/>
      <c r="H141" s="353"/>
      <c r="I141" s="353"/>
    </row>
    <row r="142" spans="1:9" ht="20.25" customHeight="1">
      <c r="A142" s="352"/>
      <c r="B142" s="352"/>
      <c r="C142" s="352"/>
      <c r="D142" s="352"/>
      <c r="E142" s="353"/>
      <c r="F142" s="353"/>
      <c r="G142" s="353"/>
      <c r="H142" s="353"/>
      <c r="I142" s="353"/>
    </row>
    <row r="143" spans="1:9" ht="20.25" customHeight="1">
      <c r="A143" s="352"/>
      <c r="B143" s="352"/>
      <c r="C143" s="352"/>
      <c r="D143" s="352"/>
      <c r="E143" s="353"/>
      <c r="F143" s="353"/>
      <c r="G143" s="353"/>
      <c r="H143" s="353"/>
      <c r="I143" s="353"/>
    </row>
    <row r="144" spans="1:9" ht="20.25" customHeight="1">
      <c r="A144" s="352"/>
      <c r="B144" s="352"/>
      <c r="C144" s="352"/>
      <c r="D144" s="352"/>
      <c r="E144" s="353"/>
      <c r="F144" s="353"/>
      <c r="G144" s="353"/>
      <c r="H144" s="353"/>
      <c r="I144" s="353"/>
    </row>
    <row r="145" spans="1:9" ht="20.25" customHeight="1">
      <c r="A145" s="352"/>
      <c r="B145" s="352"/>
      <c r="C145" s="352"/>
      <c r="D145" s="352"/>
      <c r="E145" s="353"/>
      <c r="F145" s="353"/>
      <c r="G145" s="353"/>
      <c r="H145" s="353"/>
      <c r="I145" s="353"/>
    </row>
    <row r="146" spans="1:9" ht="20.25" customHeight="1">
      <c r="A146" s="352"/>
      <c r="B146" s="352"/>
      <c r="C146" s="352"/>
      <c r="D146" s="352"/>
      <c r="E146" s="353"/>
      <c r="F146" s="353"/>
      <c r="G146" s="353"/>
      <c r="H146" s="353"/>
      <c r="I146" s="353"/>
    </row>
    <row r="147" spans="1:9" ht="20.25" customHeight="1">
      <c r="A147" s="352"/>
      <c r="B147" s="352"/>
      <c r="C147" s="352"/>
      <c r="D147" s="352"/>
      <c r="E147" s="353"/>
      <c r="F147" s="353"/>
      <c r="G147" s="353"/>
      <c r="H147" s="353"/>
      <c r="I147" s="353"/>
    </row>
    <row r="148" spans="1:9" ht="20.25" customHeight="1">
      <c r="A148" s="352"/>
      <c r="B148" s="352"/>
      <c r="C148" s="352"/>
      <c r="D148" s="352"/>
      <c r="E148" s="353"/>
      <c r="F148" s="353"/>
      <c r="G148" s="353"/>
      <c r="H148" s="353"/>
      <c r="I148" s="353"/>
    </row>
    <row r="149" spans="1:9" ht="20.25" customHeight="1">
      <c r="A149" s="352"/>
      <c r="B149" s="352"/>
      <c r="C149" s="352"/>
      <c r="D149" s="352"/>
      <c r="E149" s="353"/>
      <c r="F149" s="353"/>
      <c r="G149" s="353"/>
      <c r="H149" s="353"/>
      <c r="I149" s="353"/>
    </row>
    <row r="150" spans="1:9" ht="20.25" customHeight="1">
      <c r="A150" s="352"/>
      <c r="B150" s="352"/>
      <c r="C150" s="352"/>
      <c r="D150" s="352"/>
      <c r="E150" s="353"/>
      <c r="F150" s="353"/>
      <c r="G150" s="353"/>
      <c r="H150" s="353"/>
      <c r="I150" s="353"/>
    </row>
    <row r="151" spans="1:9" ht="20.25" customHeight="1">
      <c r="A151" s="352"/>
      <c r="B151" s="352"/>
      <c r="C151" s="352"/>
      <c r="D151" s="352"/>
      <c r="E151" s="353"/>
      <c r="F151" s="353"/>
      <c r="G151" s="353"/>
      <c r="H151" s="353"/>
      <c r="I151" s="353"/>
    </row>
    <row r="152" spans="1:9" ht="20.25" customHeight="1">
      <c r="A152" s="352"/>
      <c r="B152" s="352"/>
      <c r="C152" s="352"/>
      <c r="D152" s="352"/>
      <c r="E152" s="353"/>
      <c r="F152" s="353"/>
      <c r="G152" s="353"/>
      <c r="H152" s="353"/>
      <c r="I152" s="353"/>
    </row>
    <row r="153" spans="1:9" ht="20.25" customHeight="1">
      <c r="A153" s="352"/>
      <c r="B153" s="352"/>
      <c r="C153" s="352"/>
      <c r="D153" s="352"/>
      <c r="E153" s="353"/>
      <c r="F153" s="353"/>
      <c r="G153" s="353"/>
      <c r="H153" s="353"/>
      <c r="I153" s="353"/>
    </row>
    <row r="154" spans="1:9" ht="20.25" customHeight="1">
      <c r="A154" s="352"/>
      <c r="B154" s="352"/>
      <c r="C154" s="352"/>
      <c r="D154" s="352"/>
      <c r="E154" s="353"/>
      <c r="F154" s="353"/>
      <c r="G154" s="353"/>
      <c r="H154" s="353"/>
      <c r="I154" s="353"/>
    </row>
    <row r="155" spans="1:9" ht="20.25" customHeight="1">
      <c r="A155" s="352"/>
      <c r="B155" s="352"/>
      <c r="C155" s="352"/>
      <c r="D155" s="352"/>
      <c r="E155" s="353"/>
      <c r="F155" s="353"/>
      <c r="G155" s="353"/>
      <c r="H155" s="353"/>
      <c r="I155" s="353"/>
    </row>
    <row r="156" spans="1:9" ht="20.25" customHeight="1">
      <c r="A156" s="352"/>
      <c r="B156" s="352"/>
      <c r="C156" s="352"/>
      <c r="D156" s="352"/>
      <c r="E156" s="353"/>
      <c r="F156" s="353"/>
      <c r="G156" s="353"/>
      <c r="H156" s="353"/>
      <c r="I156" s="353"/>
    </row>
    <row r="157" spans="1:9" ht="20.25" customHeight="1">
      <c r="A157" s="352"/>
      <c r="B157" s="352"/>
      <c r="C157" s="352"/>
      <c r="D157" s="352"/>
      <c r="E157" s="353"/>
      <c r="F157" s="353"/>
      <c r="G157" s="353"/>
      <c r="H157" s="353"/>
      <c r="I157" s="353"/>
    </row>
    <row r="158" spans="1:9" ht="20.25" customHeight="1">
      <c r="A158" s="352"/>
      <c r="B158" s="352"/>
      <c r="C158" s="352"/>
      <c r="D158" s="352"/>
      <c r="E158" s="353"/>
      <c r="F158" s="353"/>
      <c r="G158" s="353"/>
      <c r="H158" s="353"/>
      <c r="I158" s="353"/>
    </row>
    <row r="159" spans="1:9" ht="20.25" customHeight="1">
      <c r="A159" s="352"/>
      <c r="B159" s="352"/>
      <c r="C159" s="352"/>
      <c r="D159" s="352"/>
      <c r="E159" s="353"/>
      <c r="F159" s="353"/>
      <c r="G159" s="353"/>
      <c r="H159" s="353"/>
      <c r="I159" s="353"/>
    </row>
    <row r="160" spans="1:9" ht="20.25" customHeight="1">
      <c r="A160" s="352"/>
      <c r="B160" s="352"/>
      <c r="C160" s="352"/>
      <c r="D160" s="352"/>
      <c r="E160" s="353"/>
      <c r="F160" s="353"/>
      <c r="G160" s="353"/>
      <c r="H160" s="353"/>
      <c r="I160" s="353"/>
    </row>
    <row r="161" spans="1:9" ht="20.25" customHeight="1">
      <c r="A161" s="352"/>
      <c r="B161" s="352"/>
      <c r="C161" s="352"/>
      <c r="D161" s="352"/>
      <c r="E161" s="353"/>
      <c r="F161" s="353"/>
      <c r="G161" s="353"/>
      <c r="H161" s="353"/>
      <c r="I161" s="353"/>
    </row>
    <row r="162" spans="1:9" ht="20.25" customHeight="1">
      <c r="A162" s="352"/>
      <c r="B162" s="352"/>
      <c r="C162" s="352"/>
      <c r="D162" s="352"/>
      <c r="E162" s="353"/>
      <c r="F162" s="353"/>
      <c r="G162" s="353"/>
      <c r="H162" s="353"/>
      <c r="I162" s="353"/>
    </row>
    <row r="163" spans="1:9" ht="20.25" customHeight="1">
      <c r="A163" s="352"/>
      <c r="B163" s="352"/>
      <c r="C163" s="352"/>
      <c r="D163" s="352"/>
      <c r="E163" s="353"/>
      <c r="F163" s="353"/>
      <c r="G163" s="353"/>
      <c r="H163" s="353"/>
      <c r="I163" s="353"/>
    </row>
    <row r="164" spans="1:9" ht="20.25" customHeight="1">
      <c r="A164" s="352"/>
      <c r="B164" s="352"/>
      <c r="C164" s="352"/>
      <c r="D164" s="352"/>
      <c r="E164" s="353"/>
      <c r="F164" s="353"/>
      <c r="G164" s="353"/>
      <c r="H164" s="353"/>
      <c r="I164" s="353"/>
    </row>
    <row r="165" spans="1:9" ht="20.25" customHeight="1">
      <c r="A165" s="352"/>
      <c r="B165" s="352"/>
      <c r="C165" s="352"/>
      <c r="D165" s="352"/>
      <c r="E165" s="353"/>
      <c r="F165" s="353"/>
      <c r="G165" s="353"/>
      <c r="H165" s="353"/>
      <c r="I165" s="353"/>
    </row>
    <row r="166" spans="1:9" ht="20.25" customHeight="1">
      <c r="A166" s="352"/>
      <c r="B166" s="352"/>
      <c r="C166" s="352"/>
      <c r="D166" s="352"/>
      <c r="E166" s="353"/>
      <c r="F166" s="353"/>
      <c r="G166" s="353"/>
      <c r="H166" s="353"/>
      <c r="I166" s="353"/>
    </row>
    <row r="167" spans="1:9" ht="20.25" customHeight="1">
      <c r="A167" s="352"/>
      <c r="B167" s="352"/>
      <c r="C167" s="352"/>
      <c r="D167" s="352"/>
      <c r="E167" s="353"/>
      <c r="F167" s="353"/>
      <c r="G167" s="353"/>
      <c r="H167" s="353"/>
      <c r="I167" s="353"/>
    </row>
    <row r="168" spans="1:9" ht="20.25" customHeight="1">
      <c r="A168" s="352"/>
      <c r="B168" s="352"/>
      <c r="C168" s="352"/>
      <c r="D168" s="352"/>
      <c r="E168" s="353"/>
      <c r="F168" s="353"/>
      <c r="G168" s="353"/>
      <c r="H168" s="353"/>
      <c r="I168" s="353"/>
    </row>
    <row r="169" spans="1:9" ht="20.25" customHeight="1">
      <c r="A169" s="352"/>
      <c r="B169" s="352"/>
      <c r="C169" s="352"/>
      <c r="D169" s="352"/>
      <c r="E169" s="353"/>
      <c r="F169" s="353"/>
      <c r="G169" s="353"/>
      <c r="H169" s="353"/>
      <c r="I169" s="353"/>
    </row>
    <row r="170" spans="1:9" ht="20.25" customHeight="1">
      <c r="A170" s="352"/>
      <c r="B170" s="352"/>
      <c r="C170" s="352"/>
      <c r="D170" s="352"/>
      <c r="E170" s="353"/>
      <c r="F170" s="353"/>
      <c r="G170" s="353"/>
      <c r="H170" s="353"/>
      <c r="I170" s="353"/>
    </row>
    <row r="171" spans="1:9" ht="20.25" customHeight="1">
      <c r="A171" s="352"/>
      <c r="B171" s="352"/>
      <c r="C171" s="352"/>
      <c r="D171" s="352"/>
      <c r="E171" s="353"/>
      <c r="F171" s="353"/>
      <c r="G171" s="353"/>
      <c r="H171" s="353"/>
      <c r="I171" s="353"/>
    </row>
    <row r="172" spans="1:9" ht="20.25" customHeight="1">
      <c r="A172" s="352"/>
      <c r="B172" s="352"/>
      <c r="C172" s="352"/>
      <c r="D172" s="352"/>
      <c r="E172" s="353"/>
      <c r="F172" s="353"/>
      <c r="G172" s="353"/>
      <c r="H172" s="353"/>
      <c r="I172" s="353"/>
    </row>
    <row r="173" spans="1:9" ht="20.25" customHeight="1">
      <c r="A173" s="352"/>
      <c r="B173" s="352"/>
      <c r="C173" s="352"/>
      <c r="D173" s="352"/>
      <c r="E173" s="353"/>
      <c r="F173" s="353"/>
      <c r="G173" s="353"/>
      <c r="H173" s="353"/>
      <c r="I173" s="353"/>
    </row>
    <row r="174" spans="1:9" ht="20.25" customHeight="1">
      <c r="A174" s="352"/>
      <c r="B174" s="352"/>
      <c r="C174" s="352"/>
      <c r="D174" s="352"/>
      <c r="E174" s="353"/>
      <c r="F174" s="353"/>
      <c r="G174" s="353"/>
      <c r="H174" s="353"/>
      <c r="I174" s="353"/>
    </row>
    <row r="175" spans="1:9" ht="20.25" customHeight="1">
      <c r="A175" s="352"/>
      <c r="B175" s="352"/>
      <c r="C175" s="352"/>
      <c r="D175" s="352"/>
      <c r="E175" s="353"/>
      <c r="F175" s="353"/>
      <c r="G175" s="353"/>
      <c r="H175" s="353"/>
      <c r="I175" s="353"/>
    </row>
    <row r="176" spans="1:9" ht="20.25" customHeight="1">
      <c r="A176" s="352"/>
      <c r="B176" s="352"/>
      <c r="C176" s="352"/>
      <c r="D176" s="352"/>
      <c r="E176" s="353"/>
      <c r="F176" s="353"/>
      <c r="G176" s="353"/>
      <c r="H176" s="353"/>
      <c r="I176" s="353"/>
    </row>
    <row r="177" spans="1:9" ht="20.25" customHeight="1">
      <c r="A177" s="352"/>
      <c r="B177" s="352"/>
      <c r="C177" s="352"/>
      <c r="D177" s="352"/>
      <c r="E177" s="353"/>
      <c r="F177" s="353"/>
      <c r="G177" s="353"/>
      <c r="H177" s="353"/>
      <c r="I177" s="353"/>
    </row>
    <row r="178" spans="1:9" ht="20.25" customHeight="1">
      <c r="A178" s="352"/>
      <c r="B178" s="352"/>
      <c r="C178" s="352"/>
      <c r="D178" s="352"/>
      <c r="E178" s="353"/>
      <c r="F178" s="353"/>
      <c r="G178" s="353"/>
      <c r="H178" s="353"/>
      <c r="I178" s="353"/>
    </row>
    <row r="179" spans="1:9" ht="20.25" customHeight="1">
      <c r="A179" s="352"/>
      <c r="B179" s="352"/>
      <c r="C179" s="352"/>
      <c r="D179" s="352"/>
      <c r="E179" s="353"/>
      <c r="F179" s="353"/>
      <c r="G179" s="353"/>
      <c r="H179" s="353"/>
      <c r="I179" s="353"/>
    </row>
    <row r="180" spans="1:9" ht="20.25" customHeight="1">
      <c r="A180" s="352"/>
      <c r="B180" s="352"/>
      <c r="C180" s="352"/>
      <c r="D180" s="352"/>
      <c r="E180" s="353"/>
      <c r="F180" s="353"/>
      <c r="G180" s="353"/>
      <c r="H180" s="353"/>
      <c r="I180" s="353"/>
    </row>
    <row r="181" spans="1:9" ht="20.25" customHeight="1">
      <c r="A181" s="352"/>
      <c r="B181" s="352"/>
      <c r="C181" s="352"/>
      <c r="D181" s="352"/>
      <c r="E181" s="353"/>
      <c r="F181" s="353"/>
      <c r="G181" s="353"/>
      <c r="H181" s="353"/>
      <c r="I181" s="353"/>
    </row>
    <row r="182" spans="1:9" ht="20.25" customHeight="1">
      <c r="A182" s="352"/>
      <c r="B182" s="352"/>
      <c r="C182" s="352"/>
      <c r="D182" s="352"/>
      <c r="E182" s="353"/>
      <c r="F182" s="353"/>
      <c r="G182" s="353"/>
      <c r="H182" s="353"/>
      <c r="I182" s="353"/>
    </row>
    <row r="183" spans="1:9" ht="20.25" customHeight="1">
      <c r="A183" s="352"/>
      <c r="B183" s="352"/>
      <c r="C183" s="352"/>
      <c r="D183" s="352"/>
      <c r="E183" s="353"/>
      <c r="F183" s="353"/>
      <c r="G183" s="353"/>
      <c r="H183" s="353"/>
      <c r="I183" s="353"/>
    </row>
    <row r="184" spans="1:9" ht="20.25" customHeight="1">
      <c r="A184" s="352"/>
      <c r="B184" s="352"/>
      <c r="C184" s="352"/>
      <c r="D184" s="352"/>
      <c r="E184" s="353"/>
      <c r="F184" s="353"/>
      <c r="G184" s="353"/>
      <c r="H184" s="353"/>
      <c r="I184" s="353"/>
    </row>
    <row r="185" spans="1:9" ht="20.25" customHeight="1">
      <c r="A185" s="352"/>
      <c r="B185" s="352"/>
      <c r="C185" s="352"/>
      <c r="D185" s="352"/>
      <c r="E185" s="353"/>
      <c r="F185" s="353"/>
      <c r="G185" s="353"/>
      <c r="H185" s="353"/>
      <c r="I185" s="353"/>
    </row>
    <row r="186" spans="1:9" ht="20.25" customHeight="1">
      <c r="A186" s="352"/>
      <c r="B186" s="352"/>
      <c r="C186" s="352"/>
      <c r="D186" s="352"/>
      <c r="E186" s="353"/>
      <c r="F186" s="353"/>
      <c r="G186" s="353"/>
      <c r="H186" s="353"/>
      <c r="I186" s="353"/>
    </row>
    <row r="187" spans="1:9" ht="20.25" customHeight="1">
      <c r="A187" s="352"/>
      <c r="B187" s="352"/>
      <c r="C187" s="352"/>
      <c r="D187" s="352"/>
      <c r="E187" s="353"/>
      <c r="F187" s="353"/>
      <c r="G187" s="353"/>
      <c r="H187" s="353"/>
      <c r="I187" s="353"/>
    </row>
    <row r="188" spans="1:9" ht="20.25" customHeight="1">
      <c r="A188" s="352"/>
      <c r="B188" s="352"/>
      <c r="C188" s="352"/>
      <c r="D188" s="352"/>
      <c r="E188" s="353"/>
      <c r="F188" s="353"/>
      <c r="G188" s="353"/>
      <c r="H188" s="353"/>
      <c r="I188" s="353"/>
    </row>
    <row r="189" spans="1:9" ht="20.25" customHeight="1">
      <c r="A189" s="352"/>
      <c r="B189" s="352"/>
      <c r="C189" s="352"/>
      <c r="D189" s="352"/>
      <c r="E189" s="353"/>
      <c r="F189" s="353"/>
      <c r="G189" s="353"/>
      <c r="H189" s="353"/>
      <c r="I189" s="353"/>
    </row>
    <row r="190" spans="1:9" ht="20.25" customHeight="1">
      <c r="A190" s="352"/>
      <c r="B190" s="352"/>
      <c r="C190" s="352"/>
      <c r="D190" s="352"/>
      <c r="E190" s="353"/>
      <c r="F190" s="353"/>
      <c r="G190" s="353"/>
      <c r="H190" s="353"/>
      <c r="I190" s="353"/>
    </row>
    <row r="191" spans="1:9" ht="20.25" customHeight="1">
      <c r="A191" s="352"/>
      <c r="B191" s="352"/>
      <c r="C191" s="352"/>
      <c r="D191" s="352"/>
      <c r="E191" s="353"/>
      <c r="F191" s="353"/>
      <c r="G191" s="353"/>
      <c r="H191" s="353"/>
      <c r="I191" s="353"/>
    </row>
    <row r="192" spans="1:9" ht="20.25" customHeight="1">
      <c r="A192" s="352"/>
      <c r="B192" s="352"/>
      <c r="C192" s="352"/>
      <c r="D192" s="352"/>
      <c r="E192" s="353"/>
      <c r="F192" s="353"/>
      <c r="G192" s="353"/>
      <c r="H192" s="353"/>
      <c r="I192" s="353"/>
    </row>
    <row r="193" spans="1:9" ht="20.25" customHeight="1">
      <c r="A193" s="352"/>
      <c r="B193" s="352"/>
      <c r="C193" s="352"/>
      <c r="D193" s="352"/>
      <c r="E193" s="353"/>
      <c r="F193" s="353"/>
      <c r="G193" s="353"/>
      <c r="H193" s="353"/>
      <c r="I193" s="353"/>
    </row>
    <row r="194" spans="1:9" ht="20.25" customHeight="1">
      <c r="A194" s="352"/>
      <c r="B194" s="352"/>
      <c r="C194" s="352"/>
      <c r="D194" s="352"/>
      <c r="E194" s="353"/>
      <c r="F194" s="353"/>
      <c r="G194" s="353"/>
      <c r="H194" s="353"/>
      <c r="I194" s="353"/>
    </row>
    <row r="195" spans="1:9" ht="20.25" customHeight="1">
      <c r="A195" s="352"/>
      <c r="B195" s="352"/>
      <c r="C195" s="352"/>
      <c r="D195" s="352"/>
      <c r="E195" s="353"/>
      <c r="F195" s="353"/>
      <c r="G195" s="353"/>
      <c r="H195" s="353"/>
      <c r="I195" s="353"/>
    </row>
    <row r="196" spans="1:9" ht="20.25" customHeight="1">
      <c r="A196" s="352"/>
      <c r="B196" s="352"/>
      <c r="C196" s="352"/>
      <c r="D196" s="352"/>
      <c r="E196" s="353"/>
      <c r="F196" s="353"/>
      <c r="G196" s="353"/>
      <c r="H196" s="353"/>
      <c r="I196" s="353"/>
    </row>
    <row r="197" spans="1:9" ht="20.25" customHeight="1">
      <c r="A197" s="352"/>
      <c r="B197" s="352"/>
      <c r="C197" s="352"/>
      <c r="D197" s="352"/>
      <c r="E197" s="353"/>
      <c r="F197" s="353"/>
      <c r="G197" s="353"/>
      <c r="H197" s="353"/>
      <c r="I197" s="353"/>
    </row>
    <row r="198" spans="1:9" ht="20.25" customHeight="1">
      <c r="A198" s="352"/>
      <c r="B198" s="352"/>
      <c r="C198" s="352"/>
      <c r="D198" s="352"/>
      <c r="E198" s="353"/>
      <c r="F198" s="353"/>
      <c r="G198" s="353"/>
      <c r="H198" s="353"/>
      <c r="I198" s="353"/>
    </row>
    <row r="199" spans="1:9" ht="20.25" customHeight="1">
      <c r="A199" s="352"/>
      <c r="B199" s="352"/>
      <c r="C199" s="352"/>
      <c r="D199" s="352"/>
      <c r="E199" s="353"/>
      <c r="F199" s="353"/>
      <c r="G199" s="353"/>
      <c r="H199" s="353"/>
      <c r="I199" s="353"/>
    </row>
    <row r="200" spans="1:9" ht="20.25" customHeight="1">
      <c r="A200" s="352"/>
      <c r="B200" s="352"/>
      <c r="C200" s="352"/>
      <c r="D200" s="352"/>
      <c r="E200" s="353"/>
      <c r="F200" s="353"/>
      <c r="G200" s="353"/>
      <c r="H200" s="353"/>
      <c r="I200" s="353"/>
    </row>
    <row r="201" spans="1:9" ht="20.25" customHeight="1">
      <c r="A201" s="352"/>
      <c r="B201" s="352"/>
      <c r="C201" s="352"/>
      <c r="D201" s="352"/>
      <c r="E201" s="353"/>
      <c r="F201" s="353"/>
      <c r="G201" s="353"/>
      <c r="H201" s="353"/>
      <c r="I201" s="353"/>
    </row>
    <row r="202" spans="1:9" ht="20.25" customHeight="1">
      <c r="A202" s="352"/>
      <c r="B202" s="352"/>
      <c r="C202" s="352"/>
      <c r="D202" s="352"/>
      <c r="E202" s="353"/>
      <c r="F202" s="353"/>
      <c r="G202" s="353"/>
      <c r="H202" s="353"/>
      <c r="I202" s="353"/>
    </row>
    <row r="203" spans="1:9" ht="20.25" customHeight="1">
      <c r="A203" s="352"/>
      <c r="B203" s="352"/>
      <c r="C203" s="352"/>
      <c r="D203" s="352"/>
      <c r="E203" s="353"/>
      <c r="F203" s="353"/>
      <c r="G203" s="353"/>
      <c r="H203" s="353"/>
      <c r="I203" s="353"/>
    </row>
    <row r="204" spans="1:9" ht="20.25" customHeight="1">
      <c r="A204" s="352"/>
      <c r="B204" s="352"/>
      <c r="C204" s="352"/>
      <c r="D204" s="352"/>
      <c r="E204" s="353"/>
      <c r="F204" s="353"/>
      <c r="G204" s="353"/>
      <c r="H204" s="353"/>
      <c r="I204" s="353"/>
    </row>
    <row r="205" spans="1:9" ht="20.25" customHeight="1">
      <c r="A205" s="352"/>
      <c r="B205" s="352"/>
      <c r="C205" s="352"/>
      <c r="D205" s="352"/>
      <c r="E205" s="353"/>
      <c r="F205" s="353"/>
      <c r="G205" s="353"/>
      <c r="H205" s="353"/>
      <c r="I205" s="353"/>
    </row>
    <row r="206" spans="1:9" ht="20.25" customHeight="1">
      <c r="A206" s="352"/>
      <c r="B206" s="352"/>
      <c r="C206" s="352"/>
      <c r="D206" s="352"/>
      <c r="E206" s="353"/>
      <c r="F206" s="353"/>
      <c r="G206" s="353"/>
      <c r="H206" s="353"/>
      <c r="I206" s="353"/>
    </row>
    <row r="207" spans="1:9" ht="20.25" customHeight="1">
      <c r="A207" s="352"/>
      <c r="B207" s="352"/>
      <c r="C207" s="352"/>
      <c r="D207" s="352"/>
      <c r="E207" s="353"/>
      <c r="F207" s="353"/>
      <c r="G207" s="353"/>
      <c r="H207" s="353"/>
      <c r="I207" s="353"/>
    </row>
    <row r="208" spans="1:9" ht="20.25" customHeight="1">
      <c r="A208" s="352"/>
      <c r="B208" s="352"/>
      <c r="C208" s="352"/>
      <c r="D208" s="352"/>
      <c r="E208" s="353"/>
      <c r="F208" s="353"/>
      <c r="G208" s="353"/>
      <c r="H208" s="353"/>
      <c r="I208" s="353"/>
    </row>
    <row r="209" spans="1:9" ht="20.25" customHeight="1">
      <c r="A209" s="352"/>
      <c r="B209" s="352"/>
      <c r="C209" s="352"/>
      <c r="D209" s="352"/>
      <c r="E209" s="353"/>
      <c r="F209" s="353"/>
      <c r="G209" s="353"/>
      <c r="H209" s="353"/>
      <c r="I209" s="353"/>
    </row>
    <row r="210" spans="1:9" ht="20.25" customHeight="1">
      <c r="A210" s="352"/>
      <c r="B210" s="352"/>
      <c r="C210" s="352"/>
      <c r="D210" s="352"/>
      <c r="E210" s="353"/>
      <c r="F210" s="353"/>
      <c r="G210" s="353"/>
      <c r="H210" s="353"/>
      <c r="I210" s="353"/>
    </row>
    <row r="211" spans="1:9" ht="20.25" customHeight="1">
      <c r="A211" s="352"/>
      <c r="B211" s="352"/>
      <c r="C211" s="352"/>
      <c r="D211" s="352"/>
      <c r="E211" s="353"/>
      <c r="F211" s="353"/>
      <c r="G211" s="353"/>
      <c r="H211" s="353"/>
      <c r="I211" s="353"/>
    </row>
    <row r="212" spans="1:9" ht="20.25" customHeight="1">
      <c r="A212" s="352"/>
      <c r="B212" s="352"/>
      <c r="C212" s="352"/>
      <c r="D212" s="352"/>
      <c r="E212" s="353"/>
      <c r="F212" s="353"/>
      <c r="G212" s="353"/>
      <c r="H212" s="353"/>
      <c r="I212" s="353"/>
    </row>
    <row r="213" spans="1:9" ht="20.25" customHeight="1">
      <c r="A213" s="352"/>
      <c r="B213" s="352"/>
      <c r="C213" s="352"/>
      <c r="D213" s="352"/>
      <c r="E213" s="353"/>
      <c r="F213" s="353"/>
      <c r="G213" s="353"/>
      <c r="H213" s="353"/>
      <c r="I213" s="353"/>
    </row>
    <row r="214" spans="1:9" ht="20.25" customHeight="1">
      <c r="A214" s="352"/>
      <c r="B214" s="352"/>
      <c r="C214" s="352"/>
      <c r="D214" s="352"/>
      <c r="E214" s="353"/>
      <c r="F214" s="353"/>
      <c r="G214" s="353"/>
      <c r="H214" s="353"/>
      <c r="I214" s="353"/>
    </row>
    <row r="215" spans="1:9" ht="20.25" customHeight="1">
      <c r="A215" s="352"/>
      <c r="B215" s="352"/>
      <c r="C215" s="352"/>
      <c r="D215" s="352"/>
      <c r="E215" s="353"/>
      <c r="F215" s="353"/>
      <c r="G215" s="353"/>
      <c r="H215" s="353"/>
      <c r="I215" s="353"/>
    </row>
    <row r="216" spans="1:9" ht="20.25" customHeight="1">
      <c r="A216" s="352"/>
      <c r="B216" s="352"/>
      <c r="C216" s="352"/>
      <c r="D216" s="352"/>
      <c r="E216" s="353"/>
      <c r="F216" s="353"/>
      <c r="G216" s="353"/>
      <c r="H216" s="353"/>
      <c r="I216" s="353"/>
    </row>
    <row r="217" spans="1:9" ht="20.25" customHeight="1">
      <c r="A217" s="352"/>
      <c r="B217" s="352"/>
      <c r="C217" s="352"/>
      <c r="D217" s="352"/>
      <c r="E217" s="353"/>
      <c r="F217" s="353"/>
      <c r="G217" s="353"/>
      <c r="H217" s="353"/>
      <c r="I217" s="353"/>
    </row>
    <row r="218" spans="1:9" ht="20.25" customHeight="1">
      <c r="A218" s="352"/>
      <c r="B218" s="352"/>
      <c r="C218" s="352"/>
      <c r="D218" s="352"/>
      <c r="E218" s="353"/>
      <c r="F218" s="353"/>
      <c r="G218" s="353"/>
      <c r="H218" s="353"/>
      <c r="I218" s="353"/>
    </row>
    <row r="219" spans="1:9" ht="20.25" customHeight="1">
      <c r="A219" s="352"/>
      <c r="B219" s="352"/>
      <c r="C219" s="352"/>
      <c r="D219" s="352"/>
      <c r="E219" s="353"/>
      <c r="F219" s="353"/>
      <c r="G219" s="353"/>
      <c r="H219" s="353"/>
      <c r="I219" s="353"/>
    </row>
    <row r="220" spans="1:9" ht="20.25" customHeight="1">
      <c r="A220" s="352"/>
      <c r="B220" s="352"/>
      <c r="C220" s="352"/>
      <c r="D220" s="352"/>
      <c r="E220" s="353"/>
      <c r="F220" s="353"/>
      <c r="G220" s="353"/>
      <c r="H220" s="353"/>
      <c r="I220" s="353"/>
    </row>
    <row r="221" spans="1:9" ht="20.25" customHeight="1">
      <c r="A221" s="352"/>
      <c r="B221" s="352"/>
      <c r="C221" s="352"/>
      <c r="D221" s="352"/>
      <c r="E221" s="353"/>
      <c r="F221" s="353"/>
      <c r="G221" s="353"/>
      <c r="H221" s="353"/>
      <c r="I221" s="353"/>
    </row>
    <row r="222" spans="1:9" ht="20.25" customHeight="1">
      <c r="A222" s="352"/>
      <c r="B222" s="352"/>
      <c r="C222" s="352"/>
      <c r="D222" s="352"/>
      <c r="E222" s="353"/>
      <c r="F222" s="353"/>
      <c r="G222" s="353"/>
      <c r="H222" s="353"/>
      <c r="I222" s="353"/>
    </row>
    <row r="223" spans="1:9" ht="20.25" customHeight="1">
      <c r="A223" s="352"/>
      <c r="B223" s="352"/>
      <c r="C223" s="352"/>
      <c r="D223" s="352"/>
      <c r="E223" s="353"/>
      <c r="F223" s="353"/>
      <c r="G223" s="353"/>
      <c r="H223" s="353"/>
      <c r="I223" s="353"/>
    </row>
    <row r="224" spans="1:9" ht="20.25" customHeight="1">
      <c r="A224" s="352"/>
      <c r="B224" s="352"/>
      <c r="C224" s="352"/>
      <c r="D224" s="352"/>
      <c r="E224" s="353"/>
      <c r="F224" s="353"/>
      <c r="G224" s="353"/>
      <c r="H224" s="353"/>
      <c r="I224" s="353"/>
    </row>
    <row r="225" spans="1:9" ht="20.25" customHeight="1">
      <c r="A225" s="352"/>
      <c r="B225" s="352"/>
      <c r="C225" s="352"/>
      <c r="D225" s="352"/>
      <c r="E225" s="353"/>
      <c r="F225" s="353"/>
      <c r="G225" s="353"/>
      <c r="H225" s="353"/>
      <c r="I225" s="353"/>
    </row>
    <row r="226" spans="1:9" ht="20.25" customHeight="1">
      <c r="A226" s="352"/>
      <c r="B226" s="352"/>
      <c r="C226" s="352"/>
      <c r="D226" s="352"/>
      <c r="E226" s="353"/>
      <c r="F226" s="353"/>
      <c r="G226" s="353"/>
      <c r="H226" s="353"/>
      <c r="I226" s="353"/>
    </row>
    <row r="227" spans="1:9" ht="20.25" customHeight="1">
      <c r="A227" s="352"/>
      <c r="B227" s="352"/>
      <c r="C227" s="352"/>
      <c r="D227" s="352"/>
      <c r="E227" s="353"/>
      <c r="F227" s="353"/>
      <c r="G227" s="353"/>
      <c r="H227" s="353"/>
      <c r="I227" s="353"/>
    </row>
    <row r="228" spans="1:9" ht="20.25" customHeight="1">
      <c r="A228" s="352"/>
      <c r="B228" s="352"/>
      <c r="C228" s="352"/>
      <c r="D228" s="352"/>
      <c r="E228" s="353"/>
      <c r="F228" s="353"/>
      <c r="G228" s="353"/>
      <c r="H228" s="353"/>
      <c r="I228" s="353"/>
    </row>
    <row r="229" spans="1:9" ht="20.25" customHeight="1">
      <c r="A229" s="352"/>
      <c r="B229" s="352"/>
      <c r="C229" s="352"/>
      <c r="D229" s="352"/>
      <c r="E229" s="353"/>
      <c r="F229" s="353"/>
      <c r="G229" s="353"/>
      <c r="H229" s="353"/>
      <c r="I229" s="353"/>
    </row>
    <row r="230" spans="1:9" ht="20.25" customHeight="1">
      <c r="A230" s="352"/>
      <c r="B230" s="352"/>
      <c r="C230" s="352"/>
      <c r="D230" s="352"/>
      <c r="E230" s="353"/>
      <c r="F230" s="353"/>
      <c r="G230" s="353"/>
      <c r="H230" s="353"/>
      <c r="I230" s="353"/>
    </row>
    <row r="231" spans="1:9" ht="20.25" customHeight="1">
      <c r="A231" s="352"/>
      <c r="B231" s="352"/>
      <c r="C231" s="352"/>
      <c r="D231" s="352"/>
      <c r="E231" s="353"/>
      <c r="F231" s="353"/>
      <c r="G231" s="353"/>
      <c r="H231" s="353"/>
      <c r="I231" s="353"/>
    </row>
    <row r="232" spans="1:9" ht="20.25" customHeight="1">
      <c r="A232" s="352"/>
      <c r="B232" s="352"/>
      <c r="C232" s="352"/>
      <c r="D232" s="352"/>
      <c r="E232" s="353"/>
      <c r="F232" s="353"/>
      <c r="G232" s="353"/>
      <c r="H232" s="353"/>
      <c r="I232" s="353"/>
    </row>
    <row r="233" spans="1:9" ht="20.25" customHeight="1">
      <c r="A233" s="352"/>
      <c r="B233" s="352"/>
      <c r="C233" s="352"/>
      <c r="D233" s="352"/>
      <c r="E233" s="353"/>
      <c r="F233" s="353"/>
      <c r="G233" s="353"/>
      <c r="H233" s="353"/>
      <c r="I233" s="353"/>
    </row>
    <row r="234" spans="1:9" ht="20.25" customHeight="1">
      <c r="A234" s="352"/>
      <c r="B234" s="352"/>
      <c r="C234" s="352"/>
      <c r="D234" s="352"/>
      <c r="E234" s="353"/>
      <c r="F234" s="353"/>
      <c r="G234" s="353"/>
      <c r="H234" s="353"/>
      <c r="I234" s="353"/>
    </row>
    <row r="235" spans="1:9" ht="20.25" customHeight="1">
      <c r="A235" s="352"/>
      <c r="B235" s="352"/>
      <c r="C235" s="352"/>
      <c r="D235" s="352"/>
      <c r="E235" s="353"/>
      <c r="F235" s="353"/>
      <c r="G235" s="353"/>
      <c r="H235" s="353"/>
      <c r="I235" s="353"/>
    </row>
    <row r="236" spans="1:9" ht="20.25" customHeight="1">
      <c r="A236" s="352"/>
      <c r="B236" s="352"/>
      <c r="C236" s="352"/>
      <c r="D236" s="352"/>
      <c r="E236" s="353"/>
      <c r="F236" s="353"/>
      <c r="G236" s="353"/>
      <c r="H236" s="353"/>
      <c r="I236" s="353"/>
    </row>
    <row r="237" spans="1:9" ht="20.25" customHeight="1">
      <c r="A237" s="352"/>
      <c r="B237" s="352"/>
      <c r="C237" s="352"/>
      <c r="D237" s="352"/>
      <c r="E237" s="353"/>
      <c r="F237" s="353"/>
      <c r="G237" s="353"/>
      <c r="H237" s="353"/>
      <c r="I237" s="353"/>
    </row>
    <row r="238" spans="1:9" ht="20.25" customHeight="1">
      <c r="A238" s="352"/>
      <c r="B238" s="352"/>
      <c r="C238" s="352"/>
      <c r="D238" s="352"/>
      <c r="E238" s="353"/>
      <c r="F238" s="353"/>
      <c r="G238" s="353"/>
      <c r="H238" s="353"/>
      <c r="I238" s="353"/>
    </row>
    <row r="239" spans="1:9" ht="20.25" customHeight="1">
      <c r="A239" s="352"/>
      <c r="B239" s="352"/>
      <c r="C239" s="352"/>
      <c r="D239" s="352"/>
      <c r="E239" s="353"/>
      <c r="F239" s="353"/>
      <c r="G239" s="353"/>
      <c r="H239" s="353"/>
      <c r="I239" s="353"/>
    </row>
    <row r="240" spans="1:9" ht="20.25" customHeight="1">
      <c r="A240" s="352"/>
      <c r="B240" s="352"/>
      <c r="C240" s="352"/>
      <c r="D240" s="352"/>
      <c r="E240" s="353"/>
      <c r="F240" s="353"/>
      <c r="G240" s="353"/>
      <c r="H240" s="353"/>
      <c r="I240" s="353"/>
    </row>
    <row r="241" spans="1:9" ht="20.25" customHeight="1">
      <c r="A241" s="352"/>
      <c r="B241" s="352"/>
      <c r="C241" s="352"/>
      <c r="D241" s="352"/>
      <c r="E241" s="353"/>
      <c r="F241" s="353"/>
      <c r="G241" s="353"/>
      <c r="H241" s="353"/>
      <c r="I241" s="353"/>
    </row>
    <row r="242" spans="1:9" ht="20.25" customHeight="1">
      <c r="A242" s="352"/>
      <c r="B242" s="352"/>
      <c r="C242" s="352"/>
      <c r="D242" s="352"/>
      <c r="E242" s="353"/>
      <c r="F242" s="353"/>
      <c r="G242" s="353"/>
      <c r="H242" s="353"/>
      <c r="I242" s="353"/>
    </row>
    <row r="243" spans="1:9" ht="20.25" customHeight="1">
      <c r="A243" s="352"/>
      <c r="B243" s="352"/>
      <c r="C243" s="352"/>
      <c r="D243" s="352"/>
      <c r="E243" s="353"/>
      <c r="F243" s="353"/>
      <c r="G243" s="353"/>
      <c r="H243" s="353"/>
      <c r="I243" s="353"/>
    </row>
    <row r="244" spans="1:9" ht="20.25" customHeight="1">
      <c r="A244" s="352"/>
      <c r="B244" s="352"/>
      <c r="C244" s="352"/>
      <c r="D244" s="352"/>
      <c r="E244" s="353"/>
      <c r="F244" s="353"/>
      <c r="G244" s="353"/>
      <c r="H244" s="353"/>
      <c r="I244" s="353"/>
    </row>
    <row r="245" spans="1:9" ht="20.25" customHeight="1">
      <c r="A245" s="352"/>
      <c r="B245" s="352"/>
      <c r="C245" s="352"/>
      <c r="D245" s="352"/>
      <c r="E245" s="353"/>
      <c r="F245" s="353"/>
      <c r="G245" s="353"/>
      <c r="H245" s="353"/>
      <c r="I245" s="353"/>
    </row>
    <row r="246" spans="1:9" ht="20.25" customHeight="1">
      <c r="A246" s="352"/>
      <c r="B246" s="352"/>
      <c r="C246" s="352"/>
      <c r="D246" s="352"/>
      <c r="E246" s="353"/>
      <c r="F246" s="353"/>
      <c r="G246" s="353"/>
      <c r="H246" s="353"/>
      <c r="I246" s="353"/>
    </row>
    <row r="247" spans="1:9" ht="20.25" customHeight="1">
      <c r="A247" s="352"/>
      <c r="B247" s="352"/>
      <c r="C247" s="352"/>
      <c r="D247" s="352"/>
      <c r="E247" s="353"/>
      <c r="F247" s="353"/>
      <c r="G247" s="353"/>
      <c r="H247" s="353"/>
      <c r="I247" s="353"/>
    </row>
    <row r="248" spans="1:9" ht="20.25" customHeight="1">
      <c r="A248" s="352"/>
      <c r="B248" s="352"/>
      <c r="C248" s="352"/>
      <c r="D248" s="352"/>
      <c r="E248" s="353"/>
      <c r="F248" s="353"/>
      <c r="G248" s="353"/>
      <c r="H248" s="353"/>
      <c r="I248" s="353"/>
    </row>
    <row r="249" spans="1:9" ht="20.25" customHeight="1">
      <c r="A249" s="352"/>
      <c r="B249" s="352"/>
      <c r="C249" s="352"/>
      <c r="D249" s="352"/>
      <c r="E249" s="353"/>
      <c r="F249" s="353"/>
      <c r="G249" s="353"/>
      <c r="H249" s="353"/>
      <c r="I249" s="353"/>
    </row>
    <row r="250" spans="1:9" ht="20.25" customHeight="1">
      <c r="A250" s="352"/>
      <c r="B250" s="352"/>
      <c r="C250" s="352"/>
      <c r="D250" s="352"/>
      <c r="E250" s="353"/>
      <c r="F250" s="353"/>
      <c r="G250" s="353"/>
      <c r="H250" s="353"/>
      <c r="I250" s="353"/>
    </row>
    <row r="251" spans="1:9" ht="20.25" customHeight="1">
      <c r="A251" s="352"/>
      <c r="B251" s="352"/>
      <c r="C251" s="352"/>
      <c r="D251" s="352"/>
      <c r="E251" s="353"/>
      <c r="F251" s="353"/>
      <c r="G251" s="353"/>
      <c r="H251" s="353"/>
      <c r="I251" s="353"/>
    </row>
    <row r="252" spans="1:9" ht="20.25" customHeight="1">
      <c r="A252" s="352"/>
      <c r="B252" s="352"/>
      <c r="C252" s="352"/>
      <c r="D252" s="352"/>
      <c r="E252" s="353"/>
      <c r="F252" s="353"/>
      <c r="G252" s="353"/>
      <c r="H252" s="353"/>
      <c r="I252" s="353"/>
    </row>
    <row r="253" spans="1:9" ht="20.25" customHeight="1">
      <c r="A253" s="352"/>
      <c r="B253" s="352"/>
      <c r="C253" s="352"/>
      <c r="D253" s="352"/>
      <c r="E253" s="353"/>
      <c r="F253" s="353"/>
      <c r="G253" s="353"/>
      <c r="H253" s="353"/>
      <c r="I253" s="353"/>
    </row>
    <row r="254" spans="1:9" ht="20.25" customHeight="1">
      <c r="A254" s="352"/>
      <c r="B254" s="352"/>
      <c r="C254" s="352"/>
      <c r="D254" s="352"/>
      <c r="E254" s="353"/>
      <c r="F254" s="353"/>
      <c r="G254" s="353"/>
      <c r="H254" s="353"/>
      <c r="I254" s="353"/>
    </row>
    <row r="255" spans="1:9" ht="20.25" customHeight="1">
      <c r="A255" s="352"/>
      <c r="B255" s="352"/>
      <c r="C255" s="352"/>
      <c r="D255" s="352"/>
      <c r="E255" s="353"/>
      <c r="F255" s="353"/>
      <c r="G255" s="353"/>
      <c r="H255" s="353"/>
      <c r="I255" s="353"/>
    </row>
    <row r="256" spans="1:9" ht="20.25" customHeight="1">
      <c r="A256" s="352"/>
      <c r="B256" s="352"/>
      <c r="C256" s="352"/>
      <c r="D256" s="352"/>
      <c r="E256" s="353"/>
      <c r="F256" s="353"/>
      <c r="G256" s="353"/>
      <c r="H256" s="353"/>
      <c r="I256" s="353"/>
    </row>
    <row r="257" spans="1:9" ht="20.25" customHeight="1">
      <c r="A257" s="352"/>
      <c r="B257" s="352"/>
      <c r="C257" s="352"/>
      <c r="D257" s="352"/>
      <c r="E257" s="353"/>
      <c r="F257" s="353"/>
      <c r="G257" s="353"/>
      <c r="H257" s="353"/>
      <c r="I257" s="353"/>
    </row>
    <row r="258" spans="1:9" ht="20.25" customHeight="1">
      <c r="A258" s="352"/>
      <c r="B258" s="352"/>
      <c r="C258" s="352"/>
      <c r="D258" s="352"/>
      <c r="E258" s="353"/>
      <c r="F258" s="353"/>
      <c r="G258" s="353"/>
      <c r="H258" s="353"/>
      <c r="I258" s="353"/>
    </row>
    <row r="259" spans="1:9" ht="20.25" customHeight="1">
      <c r="A259" s="352"/>
      <c r="B259" s="352"/>
      <c r="C259" s="352"/>
      <c r="D259" s="352"/>
      <c r="E259" s="353"/>
      <c r="F259" s="353"/>
      <c r="G259" s="353"/>
      <c r="H259" s="353"/>
      <c r="I259" s="353"/>
    </row>
    <row r="260" spans="1:9" ht="20.25" customHeight="1">
      <c r="A260" s="352"/>
      <c r="B260" s="352"/>
      <c r="C260" s="352"/>
      <c r="D260" s="352"/>
      <c r="E260" s="353"/>
      <c r="F260" s="353"/>
      <c r="G260" s="353"/>
      <c r="H260" s="353"/>
      <c r="I260" s="353"/>
    </row>
    <row r="261" spans="1:9" ht="20.25" customHeight="1">
      <c r="A261" s="352"/>
      <c r="B261" s="352"/>
      <c r="C261" s="352"/>
      <c r="D261" s="352"/>
      <c r="E261" s="353"/>
      <c r="F261" s="353"/>
      <c r="G261" s="353"/>
      <c r="H261" s="353"/>
      <c r="I261" s="353"/>
    </row>
    <row r="262" spans="1:9" ht="20.25" customHeight="1">
      <c r="A262" s="352"/>
      <c r="B262" s="352"/>
      <c r="C262" s="352"/>
      <c r="D262" s="352"/>
      <c r="E262" s="353"/>
      <c r="F262" s="353"/>
      <c r="G262" s="353"/>
      <c r="H262" s="353"/>
      <c r="I262" s="353"/>
    </row>
    <row r="263" spans="1:9" ht="20.25" customHeight="1">
      <c r="A263" s="352"/>
      <c r="B263" s="352"/>
      <c r="C263" s="352"/>
      <c r="D263" s="352"/>
      <c r="E263" s="353"/>
      <c r="F263" s="353"/>
      <c r="G263" s="353"/>
      <c r="H263" s="353"/>
      <c r="I263" s="353"/>
    </row>
    <row r="264" spans="5:9" ht="20.25" customHeight="1">
      <c r="E264" s="353"/>
      <c r="F264" s="353"/>
      <c r="G264" s="353"/>
      <c r="H264" s="353"/>
      <c r="I264" s="353"/>
    </row>
    <row r="265" spans="5:9" ht="20.25" customHeight="1">
      <c r="E265" s="353"/>
      <c r="F265" s="353"/>
      <c r="G265" s="353"/>
      <c r="H265" s="353"/>
      <c r="I265" s="353"/>
    </row>
    <row r="266" spans="5:9" ht="20.25" customHeight="1">
      <c r="E266" s="353"/>
      <c r="F266" s="353"/>
      <c r="G266" s="353"/>
      <c r="H266" s="353"/>
      <c r="I266" s="353"/>
    </row>
    <row r="267" spans="5:9" ht="20.25" customHeight="1">
      <c r="E267" s="353"/>
      <c r="F267" s="353"/>
      <c r="G267" s="353"/>
      <c r="H267" s="353"/>
      <c r="I267" s="353"/>
    </row>
    <row r="268" spans="5:9" ht="20.25" customHeight="1">
      <c r="E268" s="353"/>
      <c r="F268" s="353"/>
      <c r="G268" s="353"/>
      <c r="H268" s="353"/>
      <c r="I268" s="353"/>
    </row>
    <row r="269" spans="5:9" ht="20.25" customHeight="1">
      <c r="E269" s="353"/>
      <c r="F269" s="353"/>
      <c r="G269" s="353"/>
      <c r="H269" s="353"/>
      <c r="I269" s="353"/>
    </row>
    <row r="270" spans="5:9" ht="20.25" customHeight="1">
      <c r="E270" s="353"/>
      <c r="F270" s="353"/>
      <c r="G270" s="353"/>
      <c r="H270" s="353"/>
      <c r="I270" s="353"/>
    </row>
    <row r="271" spans="5:9" ht="20.25" customHeight="1">
      <c r="E271" s="353"/>
      <c r="F271" s="353"/>
      <c r="G271" s="353"/>
      <c r="H271" s="353"/>
      <c r="I271" s="353"/>
    </row>
    <row r="272" spans="5:9" ht="20.25" customHeight="1">
      <c r="E272" s="353"/>
      <c r="F272" s="353"/>
      <c r="G272" s="353"/>
      <c r="H272" s="353"/>
      <c r="I272" s="353"/>
    </row>
    <row r="273" spans="5:9" ht="20.25" customHeight="1">
      <c r="E273" s="353"/>
      <c r="F273" s="353"/>
      <c r="G273" s="353"/>
      <c r="H273" s="353"/>
      <c r="I273" s="353"/>
    </row>
    <row r="274" spans="5:9" ht="20.25" customHeight="1">
      <c r="E274" s="353"/>
      <c r="F274" s="353"/>
      <c r="G274" s="353"/>
      <c r="H274" s="353"/>
      <c r="I274" s="353"/>
    </row>
    <row r="275" spans="5:9" ht="20.25" customHeight="1">
      <c r="E275" s="353"/>
      <c r="F275" s="353"/>
      <c r="G275" s="353"/>
      <c r="H275" s="353"/>
      <c r="I275" s="353"/>
    </row>
    <row r="276" spans="5:9" ht="20.25" customHeight="1">
      <c r="E276" s="353"/>
      <c r="F276" s="353"/>
      <c r="G276" s="353"/>
      <c r="H276" s="353"/>
      <c r="I276" s="353"/>
    </row>
    <row r="277" spans="5:9" ht="20.25" customHeight="1">
      <c r="E277" s="353"/>
      <c r="F277" s="353"/>
      <c r="G277" s="353"/>
      <c r="H277" s="353"/>
      <c r="I277" s="353"/>
    </row>
    <row r="278" spans="5:9" ht="20.25" customHeight="1">
      <c r="E278" s="353"/>
      <c r="F278" s="353"/>
      <c r="G278" s="353"/>
      <c r="H278" s="353"/>
      <c r="I278" s="353"/>
    </row>
    <row r="279" spans="5:9" ht="20.25" customHeight="1">
      <c r="E279" s="353"/>
      <c r="F279" s="353"/>
      <c r="G279" s="353"/>
      <c r="H279" s="353"/>
      <c r="I279" s="353"/>
    </row>
    <row r="280" spans="5:9" ht="20.25" customHeight="1">
      <c r="E280" s="353"/>
      <c r="F280" s="353"/>
      <c r="G280" s="353"/>
      <c r="H280" s="353"/>
      <c r="I280" s="353"/>
    </row>
    <row r="281" spans="5:9" ht="20.25" customHeight="1">
      <c r="E281" s="353"/>
      <c r="F281" s="353"/>
      <c r="G281" s="353"/>
      <c r="H281" s="353"/>
      <c r="I281" s="353"/>
    </row>
    <row r="282" spans="5:9" ht="20.25" customHeight="1">
      <c r="E282" s="353"/>
      <c r="F282" s="353"/>
      <c r="G282" s="353"/>
      <c r="H282" s="353"/>
      <c r="I282" s="353"/>
    </row>
    <row r="283" spans="5:9" ht="20.25" customHeight="1">
      <c r="E283" s="353"/>
      <c r="F283" s="353"/>
      <c r="G283" s="353"/>
      <c r="H283" s="353"/>
      <c r="I283" s="353"/>
    </row>
    <row r="284" spans="5:9" ht="20.25" customHeight="1">
      <c r="E284" s="353"/>
      <c r="F284" s="353"/>
      <c r="G284" s="353"/>
      <c r="H284" s="353"/>
      <c r="I284" s="353"/>
    </row>
    <row r="285" spans="5:9" ht="20.25" customHeight="1">
      <c r="E285" s="353"/>
      <c r="F285" s="353"/>
      <c r="G285" s="353"/>
      <c r="H285" s="353"/>
      <c r="I285" s="353"/>
    </row>
    <row r="286" spans="5:9" ht="20.25" customHeight="1">
      <c r="E286" s="353"/>
      <c r="F286" s="353"/>
      <c r="G286" s="353"/>
      <c r="H286" s="353"/>
      <c r="I286" s="353"/>
    </row>
    <row r="287" spans="5:9" ht="20.25" customHeight="1">
      <c r="E287" s="353"/>
      <c r="F287" s="353"/>
      <c r="G287" s="353"/>
      <c r="H287" s="353"/>
      <c r="I287" s="353"/>
    </row>
    <row r="288" spans="5:9" ht="20.25" customHeight="1">
      <c r="E288" s="353"/>
      <c r="F288" s="353"/>
      <c r="G288" s="353"/>
      <c r="H288" s="353"/>
      <c r="I288" s="353"/>
    </row>
    <row r="289" spans="5:9" ht="20.25" customHeight="1">
      <c r="E289" s="353"/>
      <c r="F289" s="353"/>
      <c r="G289" s="353"/>
      <c r="H289" s="353"/>
      <c r="I289" s="353"/>
    </row>
    <row r="290" spans="5:9" ht="20.25" customHeight="1">
      <c r="E290" s="353"/>
      <c r="F290" s="353"/>
      <c r="G290" s="353"/>
      <c r="H290" s="353"/>
      <c r="I290" s="353"/>
    </row>
    <row r="291" spans="5:9" ht="20.25" customHeight="1">
      <c r="E291" s="353"/>
      <c r="F291" s="353"/>
      <c r="G291" s="353"/>
      <c r="H291" s="353"/>
      <c r="I291" s="353"/>
    </row>
    <row r="292" spans="5:9" ht="20.25" customHeight="1">
      <c r="E292" s="353"/>
      <c r="F292" s="353"/>
      <c r="G292" s="353"/>
      <c r="H292" s="353"/>
      <c r="I292" s="353"/>
    </row>
    <row r="293" spans="5:9" ht="20.25" customHeight="1">
      <c r="E293" s="353"/>
      <c r="F293" s="353"/>
      <c r="G293" s="353"/>
      <c r="H293" s="353"/>
      <c r="I293" s="353"/>
    </row>
    <row r="294" spans="5:9" ht="20.25" customHeight="1">
      <c r="E294" s="353"/>
      <c r="F294" s="353"/>
      <c r="G294" s="353"/>
      <c r="H294" s="353"/>
      <c r="I294" s="353"/>
    </row>
    <row r="295" spans="5:9" ht="20.25" customHeight="1">
      <c r="E295" s="353"/>
      <c r="F295" s="353"/>
      <c r="G295" s="353"/>
      <c r="H295" s="353"/>
      <c r="I295" s="353"/>
    </row>
    <row r="296" spans="5:9" ht="20.25" customHeight="1">
      <c r="E296" s="353"/>
      <c r="F296" s="353"/>
      <c r="G296" s="353"/>
      <c r="H296" s="353"/>
      <c r="I296" s="353"/>
    </row>
    <row r="297" spans="5:9" ht="20.25" customHeight="1">
      <c r="E297" s="353"/>
      <c r="F297" s="353"/>
      <c r="G297" s="353"/>
      <c r="H297" s="353"/>
      <c r="I297" s="353"/>
    </row>
    <row r="298" spans="5:9" ht="20.25" customHeight="1">
      <c r="E298" s="353"/>
      <c r="F298" s="353"/>
      <c r="G298" s="353"/>
      <c r="H298" s="353"/>
      <c r="I298" s="353"/>
    </row>
    <row r="299" spans="5:9" ht="20.25" customHeight="1">
      <c r="E299" s="353"/>
      <c r="F299" s="353"/>
      <c r="G299" s="353"/>
      <c r="H299" s="353"/>
      <c r="I299" s="353"/>
    </row>
    <row r="300" spans="5:9" ht="20.25" customHeight="1">
      <c r="E300" s="353"/>
      <c r="F300" s="353"/>
      <c r="G300" s="353"/>
      <c r="H300" s="353"/>
      <c r="I300" s="353"/>
    </row>
    <row r="301" spans="5:9" ht="20.25" customHeight="1">
      <c r="E301" s="353"/>
      <c r="F301" s="353"/>
      <c r="G301" s="353"/>
      <c r="H301" s="353"/>
      <c r="I301" s="353"/>
    </row>
    <row r="302" spans="5:9" ht="20.25" customHeight="1">
      <c r="E302" s="353"/>
      <c r="F302" s="353"/>
      <c r="G302" s="353"/>
      <c r="H302" s="353"/>
      <c r="I302" s="353"/>
    </row>
    <row r="303" spans="5:9" ht="20.25" customHeight="1">
      <c r="E303" s="353"/>
      <c r="F303" s="353"/>
      <c r="G303" s="353"/>
      <c r="H303" s="353"/>
      <c r="I303" s="353"/>
    </row>
    <row r="304" spans="5:9" ht="20.25" customHeight="1">
      <c r="E304" s="353"/>
      <c r="F304" s="353"/>
      <c r="G304" s="353"/>
      <c r="H304" s="353"/>
      <c r="I304" s="353"/>
    </row>
    <row r="305" spans="5:9" ht="20.25" customHeight="1">
      <c r="E305" s="353"/>
      <c r="F305" s="353"/>
      <c r="G305" s="353"/>
      <c r="H305" s="353"/>
      <c r="I305" s="353"/>
    </row>
    <row r="306" spans="5:9" ht="20.25" customHeight="1">
      <c r="E306" s="353"/>
      <c r="F306" s="353"/>
      <c r="G306" s="353"/>
      <c r="H306" s="353"/>
      <c r="I306" s="353"/>
    </row>
    <row r="307" spans="5:9" ht="20.25" customHeight="1">
      <c r="E307" s="353"/>
      <c r="F307" s="353"/>
      <c r="G307" s="353"/>
      <c r="H307" s="353"/>
      <c r="I307" s="353"/>
    </row>
    <row r="308" spans="5:9" ht="20.25" customHeight="1">
      <c r="E308" s="353"/>
      <c r="F308" s="353"/>
      <c r="G308" s="353"/>
      <c r="H308" s="353"/>
      <c r="I308" s="353"/>
    </row>
    <row r="309" spans="5:9" ht="20.25" customHeight="1">
      <c r="E309" s="353"/>
      <c r="F309" s="353"/>
      <c r="G309" s="353"/>
      <c r="H309" s="353"/>
      <c r="I309" s="353"/>
    </row>
    <row r="310" spans="5:9" ht="20.25" customHeight="1">
      <c r="E310" s="353"/>
      <c r="F310" s="353"/>
      <c r="G310" s="353"/>
      <c r="H310" s="353"/>
      <c r="I310" s="353"/>
    </row>
    <row r="311" spans="5:9" ht="20.25" customHeight="1">
      <c r="E311" s="353"/>
      <c r="F311" s="353"/>
      <c r="G311" s="353"/>
      <c r="H311" s="353"/>
      <c r="I311" s="353"/>
    </row>
    <row r="312" spans="5:9" ht="20.25" customHeight="1">
      <c r="E312" s="353"/>
      <c r="F312" s="353"/>
      <c r="G312" s="353"/>
      <c r="H312" s="353"/>
      <c r="I312" s="353"/>
    </row>
    <row r="313" spans="5:9" ht="20.25" customHeight="1">
      <c r="E313" s="353"/>
      <c r="F313" s="353"/>
      <c r="G313" s="353"/>
      <c r="H313" s="353"/>
      <c r="I313" s="353"/>
    </row>
    <row r="314" spans="5:9" ht="20.25" customHeight="1">
      <c r="E314" s="353"/>
      <c r="F314" s="353"/>
      <c r="G314" s="353"/>
      <c r="H314" s="353"/>
      <c r="I314" s="353"/>
    </row>
    <row r="315" spans="5:9" ht="20.25" customHeight="1">
      <c r="E315" s="353"/>
      <c r="F315" s="353"/>
      <c r="G315" s="353"/>
      <c r="H315" s="353"/>
      <c r="I315" s="353"/>
    </row>
    <row r="316" spans="5:9" ht="20.25" customHeight="1">
      <c r="E316" s="353"/>
      <c r="F316" s="353"/>
      <c r="G316" s="353"/>
      <c r="H316" s="353"/>
      <c r="I316" s="353"/>
    </row>
    <row r="317" spans="5:9" ht="20.25" customHeight="1">
      <c r="E317" s="353"/>
      <c r="F317" s="353"/>
      <c r="G317" s="353"/>
      <c r="H317" s="353"/>
      <c r="I317" s="353"/>
    </row>
    <row r="318" spans="5:9" ht="20.25" customHeight="1">
      <c r="E318" s="353"/>
      <c r="F318" s="353"/>
      <c r="G318" s="353"/>
      <c r="H318" s="353"/>
      <c r="I318" s="353"/>
    </row>
    <row r="319" spans="5:9" ht="20.25" customHeight="1">
      <c r="E319" s="353"/>
      <c r="F319" s="353"/>
      <c r="G319" s="353"/>
      <c r="H319" s="353"/>
      <c r="I319" s="353"/>
    </row>
    <row r="320" spans="5:9" ht="20.25" customHeight="1">
      <c r="E320" s="353"/>
      <c r="F320" s="353"/>
      <c r="G320" s="353"/>
      <c r="H320" s="353"/>
      <c r="I320" s="353"/>
    </row>
    <row r="321" spans="5:9" ht="20.25" customHeight="1">
      <c r="E321" s="353"/>
      <c r="F321" s="353"/>
      <c r="G321" s="353"/>
      <c r="H321" s="353"/>
      <c r="I321" s="353"/>
    </row>
    <row r="322" spans="5:9" ht="20.25" customHeight="1">
      <c r="E322" s="353"/>
      <c r="F322" s="353"/>
      <c r="G322" s="353"/>
      <c r="H322" s="353"/>
      <c r="I322" s="353"/>
    </row>
    <row r="323" spans="5:9" ht="20.25" customHeight="1">
      <c r="E323" s="353"/>
      <c r="F323" s="353"/>
      <c r="G323" s="353"/>
      <c r="H323" s="353"/>
      <c r="I323" s="353"/>
    </row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</sheetData>
  <sheetProtection/>
  <mergeCells count="7">
    <mergeCell ref="A1:J1"/>
    <mergeCell ref="D4:D5"/>
    <mergeCell ref="E4:E5"/>
    <mergeCell ref="F4:F5"/>
    <mergeCell ref="G4:G5"/>
    <mergeCell ref="H4:H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24"/>
  <sheetViews>
    <sheetView view="pageBreakPreview" zoomScale="60" zoomScalePageLayoutView="0" workbookViewId="0" topLeftCell="A37">
      <selection activeCell="D46" sqref="D46"/>
    </sheetView>
  </sheetViews>
  <sheetFormatPr defaultColWidth="8.88671875" defaultRowHeight="13.5"/>
  <cols>
    <col min="1" max="1" width="27.3359375" style="17" bestFit="1" customWidth="1"/>
    <col min="2" max="2" width="15.21484375" style="17" customWidth="1"/>
    <col min="3" max="3" width="17.5546875" style="17" customWidth="1"/>
    <col min="4" max="4" width="19.6640625" style="17" customWidth="1"/>
    <col min="5" max="5" width="19.77734375" style="354" customWidth="1"/>
    <col min="6" max="6" width="18.4453125" style="17" customWidth="1"/>
    <col min="7" max="7" width="19.6640625" style="17" customWidth="1"/>
    <col min="8" max="9" width="18.4453125" style="17" bestFit="1" customWidth="1"/>
    <col min="10" max="10" width="42.3359375" style="17" customWidth="1"/>
    <col min="11" max="11" width="17.21484375" style="355" bestFit="1" customWidth="1"/>
    <col min="12" max="13" width="15.3359375" style="19" bestFit="1" customWidth="1"/>
    <col min="14" max="16384" width="8.88671875" style="17" customWidth="1"/>
  </cols>
  <sheetData>
    <row r="1" spans="1:10" ht="34.5" customHeight="1">
      <c r="A1" s="1051" t="s">
        <v>580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933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34.5" customHeight="1">
      <c r="A3" s="265" t="s">
        <v>450</v>
      </c>
      <c r="E3" s="356" t="s">
        <v>451</v>
      </c>
      <c r="F3" s="356" t="s">
        <v>452</v>
      </c>
      <c r="G3" s="356" t="s">
        <v>20</v>
      </c>
      <c r="H3" s="17" t="s">
        <v>453</v>
      </c>
      <c r="J3" s="267" t="s">
        <v>454</v>
      </c>
    </row>
    <row r="4" spans="1:13" s="256" customFormat="1" ht="34.5" customHeight="1">
      <c r="A4" s="268"/>
      <c r="B4" s="269" t="s">
        <v>395</v>
      </c>
      <c r="C4" s="269"/>
      <c r="D4" s="1071" t="str">
        <f>+'20년 추경수입(대전)'!D4:D5</f>
        <v>2020학년도 
본예산(B)</v>
      </c>
      <c r="E4" s="1071" t="str">
        <f>+'20년 추경수입(대전)'!E4:E5</f>
        <v>2020학년도 
실적</v>
      </c>
      <c r="F4" s="1056" t="str">
        <f>'20년 추경수입(대전)'!F4:F5</f>
        <v>잔여기간
(12월-2월)</v>
      </c>
      <c r="G4" s="1058" t="str">
        <f>'20년 추경수입(대전)'!G4:G5</f>
        <v>합 계
(실적+잔여)</v>
      </c>
      <c r="H4" s="1072" t="str">
        <f>+'20년 추경수입(대전)'!H4:H5</f>
        <v>2020학년도 
추경예산(A)</v>
      </c>
      <c r="I4" s="270" t="s">
        <v>398</v>
      </c>
      <c r="J4" s="1069" t="s">
        <v>455</v>
      </c>
      <c r="K4" s="357"/>
      <c r="L4" s="358"/>
      <c r="M4" s="358"/>
    </row>
    <row r="5" spans="1:11" ht="34.5" customHeight="1">
      <c r="A5" s="272" t="s">
        <v>400</v>
      </c>
      <c r="B5" s="273" t="s">
        <v>401</v>
      </c>
      <c r="C5" s="274" t="s">
        <v>3</v>
      </c>
      <c r="D5" s="1053"/>
      <c r="E5" s="1053"/>
      <c r="F5" s="1057"/>
      <c r="G5" s="1059"/>
      <c r="H5" s="1061"/>
      <c r="I5" s="275" t="s">
        <v>402</v>
      </c>
      <c r="J5" s="1070"/>
      <c r="K5" s="357"/>
    </row>
    <row r="6" spans="1:10" ht="34.5" customHeight="1">
      <c r="A6" s="359" t="s">
        <v>456</v>
      </c>
      <c r="B6" s="343"/>
      <c r="C6" s="360"/>
      <c r="D6" s="361">
        <f>D7+D25+D62+D65+D73+D78+D70+D81+D89+D102+D110</f>
        <v>306035999999.54004</v>
      </c>
      <c r="E6" s="361">
        <f>E7+E25+E62+E65+E73+E78+E70+E81+E89+E102+E110</f>
        <v>188152135318.25</v>
      </c>
      <c r="F6" s="361">
        <f>F7+F25+F62+F65+F73+F78+F70+F81+F89+F102+F110</f>
        <v>75292064682</v>
      </c>
      <c r="G6" s="362">
        <f>G7+G25+G62+G65+G73+G78+G70+G81+G89+G102+G110</f>
        <v>263444200000.25</v>
      </c>
      <c r="H6" s="363">
        <f>H7+H25+H62+H65+H73+H78+H70+H81+H89+H102+H110</f>
        <v>339468451279.54004</v>
      </c>
      <c r="I6" s="364">
        <f>H6-D6</f>
        <v>33432451280</v>
      </c>
      <c r="J6" s="365" t="s">
        <v>20</v>
      </c>
    </row>
    <row r="7" spans="1:10" ht="34.5" customHeight="1">
      <c r="A7" s="366" t="s">
        <v>457</v>
      </c>
      <c r="B7" s="367"/>
      <c r="C7" s="368"/>
      <c r="D7" s="369">
        <f>D18+D8</f>
        <v>75096000000</v>
      </c>
      <c r="E7" s="369">
        <f>E18+E8</f>
        <v>55231159650.25</v>
      </c>
      <c r="F7" s="369">
        <f>F18+F8</f>
        <v>22221040350</v>
      </c>
      <c r="G7" s="370">
        <f>G18+G8</f>
        <v>77452200000.25</v>
      </c>
      <c r="H7" s="371">
        <f>H18+H8</f>
        <v>78052200000.25</v>
      </c>
      <c r="I7" s="372">
        <f aca="true" t="shared" si="0" ref="I7:I73">H7-D7</f>
        <v>2956200000.25</v>
      </c>
      <c r="J7" s="373"/>
    </row>
    <row r="8" spans="1:10" ht="34.5" customHeight="1">
      <c r="A8" s="374"/>
      <c r="B8" s="375" t="s">
        <v>458</v>
      </c>
      <c r="C8" s="376"/>
      <c r="D8" s="377">
        <f>SUM(D9:D16)</f>
        <v>7800000000</v>
      </c>
      <c r="E8" s="377">
        <f>SUM(E9:E16)</f>
        <v>5206113122</v>
      </c>
      <c r="F8" s="377">
        <f>SUM(F9:F16)</f>
        <v>1993886878</v>
      </c>
      <c r="G8" s="378">
        <f>SUM(G9:G16)</f>
        <v>7200000000</v>
      </c>
      <c r="H8" s="379">
        <f>SUM(H9:H16)</f>
        <v>7800000000</v>
      </c>
      <c r="I8" s="380">
        <f t="shared" si="0"/>
        <v>0</v>
      </c>
      <c r="J8" s="381"/>
    </row>
    <row r="9" spans="1:10" ht="34.5" customHeight="1">
      <c r="A9" s="374"/>
      <c r="B9" s="375"/>
      <c r="C9" s="382" t="s">
        <v>459</v>
      </c>
      <c r="D9" s="383">
        <v>0</v>
      </c>
      <c r="E9" s="383">
        <v>0</v>
      </c>
      <c r="F9" s="383">
        <v>0</v>
      </c>
      <c r="G9" s="384">
        <f aca="true" t="shared" si="1" ref="G9:G16">SUM(F9:F9)</f>
        <v>0</v>
      </c>
      <c r="H9" s="302">
        <f>+IF(D9&gt;G9,D9,G9)</f>
        <v>0</v>
      </c>
      <c r="I9" s="380">
        <f t="shared" si="0"/>
        <v>0</v>
      </c>
      <c r="J9" s="385"/>
    </row>
    <row r="10" spans="1:11" ht="34.5" customHeight="1">
      <c r="A10" s="374"/>
      <c r="B10" s="375"/>
      <c r="C10" s="382" t="s">
        <v>460</v>
      </c>
      <c r="D10" s="383">
        <v>0</v>
      </c>
      <c r="E10" s="383">
        <v>0</v>
      </c>
      <c r="F10" s="383">
        <v>0</v>
      </c>
      <c r="G10" s="384">
        <f t="shared" si="1"/>
        <v>0</v>
      </c>
      <c r="H10" s="302">
        <f aca="true" t="shared" si="2" ref="H10:H16">+IF(D10&gt;G10,D10,G10)</f>
        <v>0</v>
      </c>
      <c r="I10" s="380">
        <f t="shared" si="0"/>
        <v>0</v>
      </c>
      <c r="J10" s="385"/>
      <c r="K10" s="386"/>
    </row>
    <row r="11" spans="1:11" ht="34.5" customHeight="1">
      <c r="A11" s="374"/>
      <c r="B11" s="375"/>
      <c r="C11" s="382" t="s">
        <v>461</v>
      </c>
      <c r="D11" s="383">
        <f>+'[7]2019년 본예산지출'!C9</f>
        <v>7800000000</v>
      </c>
      <c r="E11" s="741">
        <v>5206113122</v>
      </c>
      <c r="F11" s="741">
        <v>1993886878</v>
      </c>
      <c r="G11" s="384">
        <f>+E11+F11</f>
        <v>7200000000</v>
      </c>
      <c r="H11" s="302">
        <f t="shared" si="2"/>
        <v>7800000000</v>
      </c>
      <c r="I11" s="387">
        <f>H11-D11</f>
        <v>0</v>
      </c>
      <c r="J11" s="388" t="s">
        <v>794</v>
      </c>
      <c r="K11" s="355">
        <f>+H11/12</f>
        <v>650000000</v>
      </c>
    </row>
    <row r="12" spans="1:10" ht="34.5" customHeight="1">
      <c r="A12" s="374"/>
      <c r="B12" s="375"/>
      <c r="C12" s="382" t="s">
        <v>462</v>
      </c>
      <c r="D12" s="383">
        <v>0</v>
      </c>
      <c r="E12" s="383">
        <v>0</v>
      </c>
      <c r="F12" s="383">
        <v>0</v>
      </c>
      <c r="G12" s="384">
        <f t="shared" si="1"/>
        <v>0</v>
      </c>
      <c r="H12" s="302">
        <f t="shared" si="2"/>
        <v>0</v>
      </c>
      <c r="I12" s="380">
        <f t="shared" si="0"/>
        <v>0</v>
      </c>
      <c r="J12" s="385"/>
    </row>
    <row r="13" spans="1:11" ht="34.5" customHeight="1">
      <c r="A13" s="374"/>
      <c r="B13" s="375"/>
      <c r="C13" s="382" t="s">
        <v>463</v>
      </c>
      <c r="D13" s="383">
        <v>0</v>
      </c>
      <c r="E13" s="383">
        <v>0</v>
      </c>
      <c r="F13" s="383">
        <v>0</v>
      </c>
      <c r="G13" s="384">
        <f t="shared" si="1"/>
        <v>0</v>
      </c>
      <c r="H13" s="302">
        <f t="shared" si="2"/>
        <v>0</v>
      </c>
      <c r="I13" s="380">
        <f t="shared" si="0"/>
        <v>0</v>
      </c>
      <c r="J13" s="389" t="s">
        <v>20</v>
      </c>
      <c r="K13" s="390"/>
    </row>
    <row r="14" spans="1:11" ht="34.5" customHeight="1">
      <c r="A14" s="374"/>
      <c r="B14" s="375"/>
      <c r="C14" s="391" t="s">
        <v>464</v>
      </c>
      <c r="D14" s="392">
        <v>0</v>
      </c>
      <c r="E14" s="383">
        <v>0</v>
      </c>
      <c r="F14" s="383">
        <v>0</v>
      </c>
      <c r="G14" s="384">
        <f t="shared" si="1"/>
        <v>0</v>
      </c>
      <c r="H14" s="302">
        <f t="shared" si="2"/>
        <v>0</v>
      </c>
      <c r="I14" s="380">
        <f t="shared" si="0"/>
        <v>0</v>
      </c>
      <c r="J14" s="393"/>
      <c r="K14" s="390"/>
    </row>
    <row r="15" spans="1:10" ht="34.5" customHeight="1">
      <c r="A15" s="374"/>
      <c r="B15" s="375"/>
      <c r="C15" s="391" t="s">
        <v>465</v>
      </c>
      <c r="D15" s="392">
        <v>0</v>
      </c>
      <c r="E15" s="383">
        <v>0</v>
      </c>
      <c r="F15" s="383">
        <v>0</v>
      </c>
      <c r="G15" s="384">
        <f t="shared" si="1"/>
        <v>0</v>
      </c>
      <c r="H15" s="302">
        <f t="shared" si="2"/>
        <v>0</v>
      </c>
      <c r="I15" s="387">
        <f t="shared" si="0"/>
        <v>0</v>
      </c>
      <c r="J15" s="389" t="s">
        <v>20</v>
      </c>
    </row>
    <row r="16" spans="1:10" ht="34.5" customHeight="1">
      <c r="A16" s="374"/>
      <c r="B16" s="375"/>
      <c r="C16" s="382" t="s">
        <v>466</v>
      </c>
      <c r="D16" s="383">
        <v>0</v>
      </c>
      <c r="E16" s="383">
        <v>0</v>
      </c>
      <c r="F16" s="383">
        <v>0</v>
      </c>
      <c r="G16" s="384">
        <f t="shared" si="1"/>
        <v>0</v>
      </c>
      <c r="H16" s="302">
        <f t="shared" si="2"/>
        <v>0</v>
      </c>
      <c r="I16" s="387">
        <f t="shared" si="0"/>
        <v>0</v>
      </c>
      <c r="J16" s="389" t="s">
        <v>20</v>
      </c>
    </row>
    <row r="17" spans="1:10" ht="34.5" customHeight="1">
      <c r="A17" s="374"/>
      <c r="B17" s="375"/>
      <c r="C17" s="382"/>
      <c r="D17" s="383"/>
      <c r="E17" s="383"/>
      <c r="F17" s="383"/>
      <c r="G17" s="384"/>
      <c r="H17" s="302"/>
      <c r="I17" s="387"/>
      <c r="J17" s="389"/>
    </row>
    <row r="18" spans="1:10" ht="34.5" customHeight="1">
      <c r="A18" s="374"/>
      <c r="B18" s="394" t="s">
        <v>467</v>
      </c>
      <c r="C18" s="391"/>
      <c r="D18" s="383">
        <f>SUM(D19:D24)</f>
        <v>67296000000</v>
      </c>
      <c r="E18" s="383">
        <f>SUM(E19:E24)</f>
        <v>50025046528.25</v>
      </c>
      <c r="F18" s="383">
        <f>SUM(F19:F24)</f>
        <v>20227153472</v>
      </c>
      <c r="G18" s="384">
        <f>SUM(G19:G24)</f>
        <v>70252200000.25</v>
      </c>
      <c r="H18" s="302">
        <f>SUM(H19:H24)</f>
        <v>70252200000.25</v>
      </c>
      <c r="I18" s="387">
        <f t="shared" si="0"/>
        <v>2956200000.25</v>
      </c>
      <c r="J18" s="385" t="s">
        <v>20</v>
      </c>
    </row>
    <row r="19" spans="1:11" ht="34.5" customHeight="1">
      <c r="A19" s="374"/>
      <c r="B19" s="375"/>
      <c r="C19" s="391" t="s">
        <v>468</v>
      </c>
      <c r="D19" s="392">
        <f>+'2020년예산서지출'!C16</f>
        <v>26352800000</v>
      </c>
      <c r="E19" s="743">
        <v>20816185172</v>
      </c>
      <c r="F19" s="742">
        <v>7203814828</v>
      </c>
      <c r="G19" s="384">
        <f aca="true" t="shared" si="3" ref="G19:G24">+E19+F19</f>
        <v>28020000000</v>
      </c>
      <c r="H19" s="302">
        <f>+G19</f>
        <v>28020000000</v>
      </c>
      <c r="I19" s="387">
        <f t="shared" si="0"/>
        <v>1667200000</v>
      </c>
      <c r="J19" s="744" t="s">
        <v>795</v>
      </c>
      <c r="K19" s="355">
        <f>+H19/12</f>
        <v>2335000000</v>
      </c>
    </row>
    <row r="20" spans="1:11" ht="34.5" customHeight="1">
      <c r="A20" s="374"/>
      <c r="B20" s="375"/>
      <c r="C20" s="382" t="s">
        <v>469</v>
      </c>
      <c r="D20" s="392">
        <f>+'2020년예산서지출'!C17</f>
        <v>7272000000</v>
      </c>
      <c r="E20" s="743">
        <v>4616608446</v>
      </c>
      <c r="F20" s="742">
        <v>2655391554</v>
      </c>
      <c r="G20" s="384">
        <f t="shared" si="3"/>
        <v>7272000000</v>
      </c>
      <c r="H20" s="302">
        <f>+IF(D20&gt;G20,D20,G20)</f>
        <v>7272000000</v>
      </c>
      <c r="I20" s="387">
        <f t="shared" si="0"/>
        <v>0</v>
      </c>
      <c r="J20" s="744" t="s">
        <v>796</v>
      </c>
      <c r="K20" s="355">
        <f>+H20/12</f>
        <v>606000000</v>
      </c>
    </row>
    <row r="21" spans="1:11" ht="34.5" customHeight="1">
      <c r="A21" s="374"/>
      <c r="B21" s="375"/>
      <c r="C21" s="382" t="s">
        <v>470</v>
      </c>
      <c r="D21" s="392">
        <f>+'2020년예산서지출'!C18</f>
        <v>26530200000</v>
      </c>
      <c r="E21" s="743">
        <v>18598385794</v>
      </c>
      <c r="F21" s="742">
        <v>7931814206</v>
      </c>
      <c r="G21" s="384">
        <f t="shared" si="3"/>
        <v>26530200000</v>
      </c>
      <c r="H21" s="302">
        <f>+IF(D21&gt;G21,D21,G21)</f>
        <v>26530200000</v>
      </c>
      <c r="I21" s="387">
        <f t="shared" si="0"/>
        <v>0</v>
      </c>
      <c r="J21" s="744" t="s">
        <v>797</v>
      </c>
      <c r="K21" s="355">
        <f>+H21/12</f>
        <v>2210850000</v>
      </c>
    </row>
    <row r="22" spans="1:11" ht="34.5" customHeight="1">
      <c r="A22" s="374"/>
      <c r="B22" s="375"/>
      <c r="C22" s="391" t="s">
        <v>471</v>
      </c>
      <c r="D22" s="392">
        <f>+'2020년예산서지출'!C19</f>
        <v>6516000000</v>
      </c>
      <c r="E22" s="743">
        <v>1963266266.25</v>
      </c>
      <c r="F22" s="742">
        <v>904733734</v>
      </c>
      <c r="G22" s="384">
        <f t="shared" si="3"/>
        <v>2868000000.25</v>
      </c>
      <c r="H22" s="482">
        <f>+G22</f>
        <v>2868000000.25</v>
      </c>
      <c r="I22" s="387">
        <f t="shared" si="0"/>
        <v>-3647999999.75</v>
      </c>
      <c r="J22" s="744" t="s">
        <v>798</v>
      </c>
      <c r="K22" s="355">
        <f>+H22/12</f>
        <v>239000000.02083334</v>
      </c>
    </row>
    <row r="23" spans="1:10" ht="34.5" customHeight="1">
      <c r="A23" s="374"/>
      <c r="B23" s="375"/>
      <c r="C23" s="382" t="s">
        <v>472</v>
      </c>
      <c r="D23" s="392">
        <f>+'2020년예산서지출'!C20</f>
        <v>30000000</v>
      </c>
      <c r="E23" s="743">
        <v>0</v>
      </c>
      <c r="F23" s="742">
        <v>30000000</v>
      </c>
      <c r="G23" s="384">
        <f t="shared" si="3"/>
        <v>30000000</v>
      </c>
      <c r="H23" s="302">
        <f>G23</f>
        <v>30000000</v>
      </c>
      <c r="I23" s="387">
        <f t="shared" si="0"/>
        <v>0</v>
      </c>
      <c r="J23" s="745"/>
    </row>
    <row r="24" spans="1:10" ht="34.5" customHeight="1">
      <c r="A24" s="395"/>
      <c r="B24" s="396"/>
      <c r="C24" s="397" t="s">
        <v>473</v>
      </c>
      <c r="D24" s="392">
        <f>+'2020년예산서지출'!C21</f>
        <v>595000000</v>
      </c>
      <c r="E24" s="743">
        <v>4030600850</v>
      </c>
      <c r="F24" s="742">
        <v>1501399150</v>
      </c>
      <c r="G24" s="384">
        <f t="shared" si="3"/>
        <v>5532000000</v>
      </c>
      <c r="H24" s="302">
        <f>+G24</f>
        <v>5532000000</v>
      </c>
      <c r="I24" s="398">
        <f t="shared" si="0"/>
        <v>4937000000</v>
      </c>
      <c r="J24" s="746" t="s">
        <v>799</v>
      </c>
    </row>
    <row r="25" spans="1:10" ht="34.5" customHeight="1">
      <c r="A25" s="366" t="s">
        <v>474</v>
      </c>
      <c r="B25" s="367"/>
      <c r="C25" s="368"/>
      <c r="D25" s="369">
        <f>D26+D35+D45+D55</f>
        <v>91376000000</v>
      </c>
      <c r="E25" s="369">
        <f>E26+E35+E45+E55</f>
        <v>55968014470</v>
      </c>
      <c r="F25" s="369">
        <f>F26+F35+F45+F55</f>
        <v>31132985530</v>
      </c>
      <c r="G25" s="370">
        <f>G26+G35+G45+G55</f>
        <v>87101000000</v>
      </c>
      <c r="H25" s="371">
        <f>H26+H35+H45+H55</f>
        <v>91441000000</v>
      </c>
      <c r="I25" s="400">
        <f>H25-D25</f>
        <v>65000000</v>
      </c>
      <c r="J25" s="373"/>
    </row>
    <row r="26" spans="1:10" ht="34.5" customHeight="1">
      <c r="A26" s="374"/>
      <c r="B26" s="375" t="s">
        <v>475</v>
      </c>
      <c r="C26" s="376"/>
      <c r="D26" s="401">
        <f>SUM(D27:D34)</f>
        <v>13788000000</v>
      </c>
      <c r="E26" s="401">
        <f>SUM(E27:E34)</f>
        <v>8882203485</v>
      </c>
      <c r="F26" s="401">
        <f>SUM(F27:F34)</f>
        <v>4905796515</v>
      </c>
      <c r="G26" s="378">
        <f>SUM(G27:G34)</f>
        <v>13788000000</v>
      </c>
      <c r="H26" s="402">
        <f>SUM(H27:H34)</f>
        <v>13788000000</v>
      </c>
      <c r="I26" s="387">
        <f t="shared" si="0"/>
        <v>0</v>
      </c>
      <c r="J26" s="381"/>
    </row>
    <row r="27" spans="1:13" ht="34.5" customHeight="1">
      <c r="A27" s="374"/>
      <c r="B27" s="375"/>
      <c r="C27" s="382" t="s">
        <v>476</v>
      </c>
      <c r="D27" s="383">
        <f>+'2020년예산서지출'!C24</f>
        <v>500000000</v>
      </c>
      <c r="E27" s="747">
        <v>93398900</v>
      </c>
      <c r="F27" s="747">
        <v>406601100</v>
      </c>
      <c r="G27" s="748">
        <f aca="true" t="shared" si="4" ref="G27:G32">+E27+F27</f>
        <v>500000000</v>
      </c>
      <c r="H27" s="302">
        <f>+G27</f>
        <v>500000000</v>
      </c>
      <c r="I27" s="387">
        <f t="shared" si="0"/>
        <v>0</v>
      </c>
      <c r="J27" s="756" t="s">
        <v>800</v>
      </c>
      <c r="K27" s="404">
        <f>48000000+14000000+1148000000</f>
        <v>1210000000</v>
      </c>
      <c r="L27" s="405"/>
      <c r="M27" s="405"/>
    </row>
    <row r="28" spans="1:13" ht="34.5" customHeight="1">
      <c r="A28" s="374"/>
      <c r="B28" s="375"/>
      <c r="C28" s="382" t="s">
        <v>477</v>
      </c>
      <c r="D28" s="383">
        <f>+'2020년예산서지출'!C28</f>
        <v>3737000000</v>
      </c>
      <c r="E28" s="750">
        <v>2194546584</v>
      </c>
      <c r="F28" s="747">
        <v>1542453416</v>
      </c>
      <c r="G28" s="748">
        <f t="shared" si="4"/>
        <v>3737000000</v>
      </c>
      <c r="H28" s="302">
        <f>+IF(D28&gt;G28,D28,G28)</f>
        <v>3737000000</v>
      </c>
      <c r="I28" s="387">
        <f t="shared" si="0"/>
        <v>0</v>
      </c>
      <c r="J28" s="757" t="s">
        <v>801</v>
      </c>
      <c r="K28" s="390">
        <f>1461143999+480000000</f>
        <v>1941143999</v>
      </c>
      <c r="L28" s="19">
        <f>88907715+30000000</f>
        <v>118907715</v>
      </c>
      <c r="M28" s="19">
        <f>207372533+111000000</f>
        <v>318372533</v>
      </c>
    </row>
    <row r="29" spans="1:10" ht="34.5" customHeight="1" hidden="1">
      <c r="A29" s="374"/>
      <c r="B29" s="375"/>
      <c r="C29" s="391" t="s">
        <v>478</v>
      </c>
      <c r="D29" s="392"/>
      <c r="E29" s="749"/>
      <c r="F29" s="749"/>
      <c r="G29" s="748">
        <f t="shared" si="4"/>
        <v>0</v>
      </c>
      <c r="H29" s="302">
        <f>+IF(D29&gt;G29,D29,G29)</f>
        <v>0</v>
      </c>
      <c r="I29" s="387">
        <f t="shared" si="0"/>
        <v>0</v>
      </c>
      <c r="J29" s="755"/>
    </row>
    <row r="30" spans="1:10" ht="34.5" customHeight="1" hidden="1">
      <c r="A30" s="374"/>
      <c r="B30" s="375"/>
      <c r="C30" s="391" t="s">
        <v>479</v>
      </c>
      <c r="D30" s="392"/>
      <c r="E30" s="749"/>
      <c r="F30" s="749"/>
      <c r="G30" s="748">
        <f t="shared" si="4"/>
        <v>0</v>
      </c>
      <c r="H30" s="302">
        <f>+IF(D30&gt;G30,D30,G30)</f>
        <v>0</v>
      </c>
      <c r="I30" s="407">
        <f t="shared" si="0"/>
        <v>0</v>
      </c>
      <c r="J30" s="755"/>
    </row>
    <row r="31" spans="1:13" ht="34.5" customHeight="1">
      <c r="A31" s="374"/>
      <c r="B31" s="375"/>
      <c r="C31" s="391" t="s">
        <v>480</v>
      </c>
      <c r="D31" s="786">
        <f>+'2020년예산서지출'!C34</f>
        <v>9436000000</v>
      </c>
      <c r="E31" s="786">
        <v>6513032702</v>
      </c>
      <c r="F31" s="787">
        <v>2922967298</v>
      </c>
      <c r="G31" s="772">
        <f t="shared" si="4"/>
        <v>9436000000</v>
      </c>
      <c r="H31" s="302">
        <f>+G31</f>
        <v>9436000000</v>
      </c>
      <c r="I31" s="387">
        <f>H31-D31</f>
        <v>0</v>
      </c>
      <c r="J31" s="754" t="s">
        <v>802</v>
      </c>
      <c r="K31" s="390"/>
      <c r="M31" s="19">
        <f>+M28+L31+L28+K28</f>
        <v>2378424247</v>
      </c>
    </row>
    <row r="32" spans="1:10" ht="34.5" customHeight="1">
      <c r="A32" s="374"/>
      <c r="B32" s="375"/>
      <c r="C32" s="391" t="s">
        <v>481</v>
      </c>
      <c r="D32" s="788">
        <f>+'2020년예산서지출'!C41</f>
        <v>53000000</v>
      </c>
      <c r="E32" s="788">
        <v>37616820</v>
      </c>
      <c r="F32" s="787">
        <v>15383180</v>
      </c>
      <c r="G32" s="772">
        <f t="shared" si="4"/>
        <v>53000000</v>
      </c>
      <c r="H32" s="302">
        <f>+IF(D32&gt;G32,D32,G32)</f>
        <v>53000000</v>
      </c>
      <c r="I32" s="407">
        <f t="shared" si="0"/>
        <v>0</v>
      </c>
      <c r="J32" s="755" t="s">
        <v>803</v>
      </c>
    </row>
    <row r="33" spans="1:10" ht="34.5" customHeight="1">
      <c r="A33" s="374"/>
      <c r="B33" s="375"/>
      <c r="C33" s="391" t="s">
        <v>482</v>
      </c>
      <c r="D33" s="788">
        <f>+'2020년예산서지출'!C42</f>
        <v>62000000</v>
      </c>
      <c r="E33" s="788">
        <v>43608479</v>
      </c>
      <c r="F33" s="787">
        <v>18391521</v>
      </c>
      <c r="G33" s="772">
        <f>+E33+F33</f>
        <v>62000000</v>
      </c>
      <c r="H33" s="302">
        <f>+G33</f>
        <v>62000000</v>
      </c>
      <c r="I33" s="407">
        <f t="shared" si="0"/>
        <v>0</v>
      </c>
      <c r="J33" s="755" t="s">
        <v>804</v>
      </c>
    </row>
    <row r="34" spans="1:11" ht="34.5" customHeight="1">
      <c r="A34" s="374"/>
      <c r="B34" s="375"/>
      <c r="C34" s="391" t="s">
        <v>483</v>
      </c>
      <c r="D34" s="788">
        <v>0</v>
      </c>
      <c r="E34" s="788">
        <f>+'[7]월별지출(확인용'!O55</f>
        <v>0</v>
      </c>
      <c r="F34" s="787">
        <f>+G34-E34</f>
        <v>0</v>
      </c>
      <c r="G34" s="772">
        <f>+ROUNDUP(E34+('[7]월별지출(확인용'!S55),-6)</f>
        <v>0</v>
      </c>
      <c r="H34" s="408">
        <v>0</v>
      </c>
      <c r="I34" s="407">
        <f t="shared" si="0"/>
        <v>0</v>
      </c>
      <c r="J34" s="385"/>
      <c r="K34" s="390"/>
    </row>
    <row r="35" spans="1:10" ht="34.5" customHeight="1">
      <c r="A35" s="374"/>
      <c r="B35" s="394" t="s">
        <v>484</v>
      </c>
      <c r="C35" s="391"/>
      <c r="D35" s="383">
        <f>SUM(D36:D44)</f>
        <v>9476000000</v>
      </c>
      <c r="E35" s="383">
        <f>SUM(E36:E44)</f>
        <v>5048506452</v>
      </c>
      <c r="F35" s="383">
        <f>SUM(F36:F44)</f>
        <v>4492493548</v>
      </c>
      <c r="G35" s="384">
        <f>SUM(G36:G44)</f>
        <v>9541000000</v>
      </c>
      <c r="H35" s="302">
        <f>SUM(H36:H44)</f>
        <v>9541000000</v>
      </c>
      <c r="I35" s="407">
        <f t="shared" si="0"/>
        <v>65000000</v>
      </c>
      <c r="J35" s="385" t="s">
        <v>20</v>
      </c>
    </row>
    <row r="36" spans="1:11" ht="34.5" customHeight="1">
      <c r="A36" s="374"/>
      <c r="B36" s="375"/>
      <c r="C36" s="391" t="s">
        <v>485</v>
      </c>
      <c r="D36" s="392">
        <f>+'2020년예산서지출'!C49</f>
        <v>170000000</v>
      </c>
      <c r="E36" s="753">
        <v>13916992</v>
      </c>
      <c r="F36" s="751">
        <v>156083008</v>
      </c>
      <c r="G36" s="752">
        <f aca="true" t="shared" si="5" ref="G36:G43">+E36+F36</f>
        <v>170000000</v>
      </c>
      <c r="H36" s="302">
        <f>+G36</f>
        <v>170000000</v>
      </c>
      <c r="I36" s="407">
        <f t="shared" si="0"/>
        <v>0</v>
      </c>
      <c r="J36" s="760" t="s">
        <v>805</v>
      </c>
      <c r="K36" s="390"/>
    </row>
    <row r="37" spans="1:11" ht="34.5" customHeight="1">
      <c r="A37" s="374"/>
      <c r="B37" s="375"/>
      <c r="C37" s="376" t="s">
        <v>486</v>
      </c>
      <c r="D37" s="392">
        <f>+'2020년예산서지출'!C52</f>
        <v>171000000</v>
      </c>
      <c r="E37" s="753">
        <v>24065780</v>
      </c>
      <c r="F37" s="751">
        <v>146934220</v>
      </c>
      <c r="G37" s="752">
        <f t="shared" si="5"/>
        <v>171000000</v>
      </c>
      <c r="H37" s="302">
        <f>+G37</f>
        <v>171000000</v>
      </c>
      <c r="I37" s="407">
        <f t="shared" si="0"/>
        <v>0</v>
      </c>
      <c r="J37" s="758" t="s">
        <v>806</v>
      </c>
      <c r="K37" s="390"/>
    </row>
    <row r="38" spans="1:11" ht="34.5" customHeight="1">
      <c r="A38" s="374"/>
      <c r="B38" s="375"/>
      <c r="C38" s="376" t="s">
        <v>487</v>
      </c>
      <c r="D38" s="392">
        <f>+'2020년예산서지출'!C57</f>
        <v>840000000</v>
      </c>
      <c r="E38" s="753">
        <v>266633984</v>
      </c>
      <c r="F38" s="751">
        <v>573366016</v>
      </c>
      <c r="G38" s="752">
        <f t="shared" si="5"/>
        <v>840000000</v>
      </c>
      <c r="H38" s="302">
        <f>+G38</f>
        <v>840000000</v>
      </c>
      <c r="I38" s="407">
        <f t="shared" si="0"/>
        <v>0</v>
      </c>
      <c r="J38" s="758" t="s">
        <v>807</v>
      </c>
      <c r="K38" s="390"/>
    </row>
    <row r="39" spans="1:11" ht="34.5" customHeight="1">
      <c r="A39" s="374"/>
      <c r="B39" s="375"/>
      <c r="C39" s="391" t="s">
        <v>488</v>
      </c>
      <c r="D39" s="392">
        <f>+'2020년예산서지출'!C60</f>
        <v>429000000</v>
      </c>
      <c r="E39" s="753">
        <v>123748003</v>
      </c>
      <c r="F39" s="751">
        <v>305251997</v>
      </c>
      <c r="G39" s="752">
        <f t="shared" si="5"/>
        <v>429000000</v>
      </c>
      <c r="H39" s="302">
        <f>+IF(D39&gt;G39,D39,G39)</f>
        <v>429000000</v>
      </c>
      <c r="I39" s="407">
        <f t="shared" si="0"/>
        <v>0</v>
      </c>
      <c r="J39" s="758"/>
      <c r="K39" s="386"/>
    </row>
    <row r="40" spans="1:11" ht="34.5" customHeight="1">
      <c r="A40" s="374"/>
      <c r="B40" s="375"/>
      <c r="C40" s="391" t="s">
        <v>489</v>
      </c>
      <c r="D40" s="392">
        <f>+'2020년예산서지출'!C61</f>
        <v>1040000000</v>
      </c>
      <c r="E40" s="753">
        <v>439994586</v>
      </c>
      <c r="F40" s="751">
        <v>600005414</v>
      </c>
      <c r="G40" s="752">
        <f t="shared" si="5"/>
        <v>1040000000</v>
      </c>
      <c r="H40" s="302">
        <f>+G40</f>
        <v>1040000000</v>
      </c>
      <c r="I40" s="407">
        <f t="shared" si="0"/>
        <v>0</v>
      </c>
      <c r="J40" s="758" t="s">
        <v>808</v>
      </c>
      <c r="K40" s="390"/>
    </row>
    <row r="41" spans="1:11" ht="34.5" customHeight="1">
      <c r="A41" s="374"/>
      <c r="B41" s="375"/>
      <c r="C41" s="391" t="s">
        <v>490</v>
      </c>
      <c r="D41" s="392">
        <f>+'2020년예산서지출'!C62</f>
        <v>2587000000</v>
      </c>
      <c r="E41" s="753">
        <v>1626808965</v>
      </c>
      <c r="F41" s="751">
        <v>960191035</v>
      </c>
      <c r="G41" s="752">
        <f t="shared" si="5"/>
        <v>2587000000</v>
      </c>
      <c r="H41" s="302">
        <f>+G41</f>
        <v>2587000000</v>
      </c>
      <c r="I41" s="407">
        <f t="shared" si="0"/>
        <v>0</v>
      </c>
      <c r="J41" s="758" t="s">
        <v>809</v>
      </c>
      <c r="K41" s="390">
        <f>1797000000+338000000</f>
        <v>2135000000</v>
      </c>
    </row>
    <row r="42" spans="1:11" ht="34.5" customHeight="1">
      <c r="A42" s="374"/>
      <c r="B42" s="375"/>
      <c r="C42" s="391" t="s">
        <v>491</v>
      </c>
      <c r="D42" s="392">
        <f>+'2020년예산서지출'!C65</f>
        <v>215000000</v>
      </c>
      <c r="E42" s="753">
        <v>117265790</v>
      </c>
      <c r="F42" s="751">
        <v>97734210</v>
      </c>
      <c r="G42" s="752">
        <f t="shared" si="5"/>
        <v>215000000</v>
      </c>
      <c r="H42" s="302">
        <f>+G42</f>
        <v>215000000</v>
      </c>
      <c r="I42" s="407">
        <f t="shared" si="0"/>
        <v>0</v>
      </c>
      <c r="J42" s="758" t="s">
        <v>810</v>
      </c>
      <c r="K42" s="390"/>
    </row>
    <row r="43" spans="1:11" ht="34.5" customHeight="1">
      <c r="A43" s="374"/>
      <c r="B43" s="375"/>
      <c r="C43" s="391" t="s">
        <v>492</v>
      </c>
      <c r="D43" s="392">
        <f>+'2020년예산서지출'!C68</f>
        <v>2279000000</v>
      </c>
      <c r="E43" s="753">
        <v>1206096987</v>
      </c>
      <c r="F43" s="751">
        <v>1072903013</v>
      </c>
      <c r="G43" s="752">
        <f t="shared" si="5"/>
        <v>2279000000</v>
      </c>
      <c r="H43" s="302">
        <f>+IF(D43&gt;G43,D43,G43)</f>
        <v>2279000000</v>
      </c>
      <c r="I43" s="407">
        <f t="shared" si="0"/>
        <v>0</v>
      </c>
      <c r="J43" s="759" t="s">
        <v>811</v>
      </c>
      <c r="K43" s="390"/>
    </row>
    <row r="44" spans="1:11" ht="34.5" customHeight="1">
      <c r="A44" s="374"/>
      <c r="B44" s="375"/>
      <c r="C44" s="391" t="s">
        <v>493</v>
      </c>
      <c r="D44" s="392">
        <f>+'2020년예산서지출'!C76</f>
        <v>1745000000</v>
      </c>
      <c r="E44" s="753">
        <v>1229975365</v>
      </c>
      <c r="F44" s="751">
        <v>580024635</v>
      </c>
      <c r="G44" s="752">
        <f>+E44+F44</f>
        <v>1810000000</v>
      </c>
      <c r="H44" s="302">
        <f>+G44</f>
        <v>1810000000</v>
      </c>
      <c r="I44" s="407">
        <f t="shared" si="0"/>
        <v>65000000</v>
      </c>
      <c r="J44" s="759" t="s">
        <v>812</v>
      </c>
      <c r="K44" s="355">
        <f>1125000000+385000000</f>
        <v>1510000000</v>
      </c>
    </row>
    <row r="45" spans="1:10" ht="34.5" customHeight="1">
      <c r="A45" s="374"/>
      <c r="B45" s="394" t="s">
        <v>494</v>
      </c>
      <c r="C45" s="391"/>
      <c r="D45" s="383">
        <f>SUM(D46:D54)</f>
        <v>1951000000</v>
      </c>
      <c r="E45" s="383">
        <f>SUM(E46:E54)</f>
        <v>1108872124</v>
      </c>
      <c r="F45" s="383">
        <f>SUM(F46:F54)</f>
        <v>842127876</v>
      </c>
      <c r="G45" s="384">
        <f>SUM(G46:G54)</f>
        <v>1951000000</v>
      </c>
      <c r="H45" s="302">
        <f>SUM(H46:H54)</f>
        <v>1951000000</v>
      </c>
      <c r="I45" s="407">
        <f t="shared" si="0"/>
        <v>0</v>
      </c>
      <c r="J45" s="385"/>
    </row>
    <row r="46" spans="1:13" ht="34.5" customHeight="1">
      <c r="A46" s="374"/>
      <c r="B46" s="375"/>
      <c r="C46" s="391" t="s">
        <v>495</v>
      </c>
      <c r="D46" s="392">
        <f>+'2020년예산서지출'!C81</f>
        <v>757000000</v>
      </c>
      <c r="E46" s="764">
        <v>548137522</v>
      </c>
      <c r="F46" s="762">
        <v>208862478</v>
      </c>
      <c r="G46" s="763">
        <f aca="true" t="shared" si="6" ref="G46:G53">+E46+F46</f>
        <v>757000000</v>
      </c>
      <c r="H46" s="302">
        <f>+G46</f>
        <v>757000000</v>
      </c>
      <c r="I46" s="407">
        <f t="shared" si="0"/>
        <v>0</v>
      </c>
      <c r="J46" s="385" t="s">
        <v>496</v>
      </c>
      <c r="K46" s="390">
        <f>+H46-G46</f>
        <v>0</v>
      </c>
      <c r="L46" s="19">
        <f>10833750+3611250+390675521+180000000</f>
        <v>585120521</v>
      </c>
      <c r="M46" s="19">
        <f>+L46+K46</f>
        <v>585120521</v>
      </c>
    </row>
    <row r="47" spans="1:11" ht="34.5" customHeight="1">
      <c r="A47" s="374"/>
      <c r="B47" s="375"/>
      <c r="C47" s="409" t="s">
        <v>497</v>
      </c>
      <c r="D47" s="392">
        <f>+'2020년예산서지출'!C87</f>
        <v>560000000</v>
      </c>
      <c r="E47" s="764">
        <v>214180667</v>
      </c>
      <c r="F47" s="762">
        <v>345819333</v>
      </c>
      <c r="G47" s="763">
        <f t="shared" si="6"/>
        <v>560000000</v>
      </c>
      <c r="H47" s="302">
        <f>+G47</f>
        <v>560000000</v>
      </c>
      <c r="I47" s="946">
        <f t="shared" si="0"/>
        <v>0</v>
      </c>
      <c r="J47" s="406" t="s">
        <v>813</v>
      </c>
      <c r="K47" s="355">
        <f>+H47-G47</f>
        <v>0</v>
      </c>
    </row>
    <row r="48" spans="1:11" ht="34.5" customHeight="1">
      <c r="A48" s="374"/>
      <c r="B48" s="375"/>
      <c r="C48" s="376" t="s">
        <v>498</v>
      </c>
      <c r="D48" s="392">
        <v>0</v>
      </c>
      <c r="E48" s="764">
        <v>0</v>
      </c>
      <c r="F48" s="762">
        <v>0</v>
      </c>
      <c r="G48" s="763">
        <f t="shared" si="6"/>
        <v>0</v>
      </c>
      <c r="H48" s="302">
        <f>+IF(D48&gt;G48,D48,G48)</f>
        <v>0</v>
      </c>
      <c r="I48" s="387">
        <f t="shared" si="0"/>
        <v>0</v>
      </c>
      <c r="J48" s="381"/>
      <c r="K48" s="386"/>
    </row>
    <row r="49" spans="1:13" s="817" customFormat="1" ht="34.5" customHeight="1">
      <c r="A49" s="374"/>
      <c r="B49" s="375"/>
      <c r="C49" s="945" t="s">
        <v>1205</v>
      </c>
      <c r="D49" s="940">
        <v>0</v>
      </c>
      <c r="E49" s="940">
        <v>0</v>
      </c>
      <c r="F49" s="781">
        <v>0</v>
      </c>
      <c r="G49" s="941">
        <f t="shared" si="6"/>
        <v>0</v>
      </c>
      <c r="H49" s="302">
        <f>+IF(D49&gt;G49,D49,G49)</f>
        <v>0</v>
      </c>
      <c r="I49" s="946"/>
      <c r="J49" s="943"/>
      <c r="K49" s="386"/>
      <c r="L49" s="819"/>
      <c r="M49" s="819"/>
    </row>
    <row r="50" spans="1:13" s="817" customFormat="1" ht="34.5" customHeight="1">
      <c r="A50" s="374"/>
      <c r="B50" s="375"/>
      <c r="C50" s="436" t="s">
        <v>1206</v>
      </c>
      <c r="D50" s="940">
        <v>0</v>
      </c>
      <c r="E50" s="940">
        <v>0</v>
      </c>
      <c r="F50" s="781">
        <v>0</v>
      </c>
      <c r="G50" s="941">
        <f t="shared" si="6"/>
        <v>0</v>
      </c>
      <c r="H50" s="302">
        <f>+IF(D50&gt;G50,D50,G50)</f>
        <v>0</v>
      </c>
      <c r="I50" s="439"/>
      <c r="J50" s="943"/>
      <c r="K50" s="386"/>
      <c r="L50" s="819"/>
      <c r="M50" s="819"/>
    </row>
    <row r="51" spans="1:11" ht="34.5" customHeight="1">
      <c r="A51" s="395"/>
      <c r="B51" s="396"/>
      <c r="C51" s="397" t="s">
        <v>499</v>
      </c>
      <c r="D51" s="411">
        <f>+'2020년예산서지출'!C95</f>
        <v>120000000</v>
      </c>
      <c r="E51" s="765">
        <v>40361225</v>
      </c>
      <c r="F51" s="766">
        <v>79638775</v>
      </c>
      <c r="G51" s="767">
        <f t="shared" si="6"/>
        <v>120000000</v>
      </c>
      <c r="H51" s="413">
        <f>+IF(D51&gt;G51,D51,G51)</f>
        <v>120000000</v>
      </c>
      <c r="I51" s="398">
        <f t="shared" si="0"/>
        <v>0</v>
      </c>
      <c r="J51" s="399" t="s">
        <v>500</v>
      </c>
      <c r="K51" s="355">
        <f>+H51-G51</f>
        <v>0</v>
      </c>
    </row>
    <row r="52" spans="1:11" ht="34.5" customHeight="1">
      <c r="A52" s="374"/>
      <c r="B52" s="375"/>
      <c r="C52" s="376" t="s">
        <v>501</v>
      </c>
      <c r="D52" s="377">
        <f>+'2020년예산서지출'!C96</f>
        <v>472000000</v>
      </c>
      <c r="E52" s="761">
        <v>306192710</v>
      </c>
      <c r="F52" s="768">
        <v>165807290</v>
      </c>
      <c r="G52" s="769">
        <f t="shared" si="6"/>
        <v>472000000</v>
      </c>
      <c r="H52" s="402">
        <f>+G52</f>
        <v>472000000</v>
      </c>
      <c r="I52" s="387">
        <f t="shared" si="0"/>
        <v>0</v>
      </c>
      <c r="J52" s="381" t="s">
        <v>502</v>
      </c>
      <c r="K52" s="390"/>
    </row>
    <row r="53" spans="1:11" ht="34.5" customHeight="1">
      <c r="A53" s="374"/>
      <c r="B53" s="375"/>
      <c r="C53" s="376" t="s">
        <v>503</v>
      </c>
      <c r="D53" s="392"/>
      <c r="E53" s="764">
        <v>0</v>
      </c>
      <c r="F53" s="762">
        <v>0</v>
      </c>
      <c r="G53" s="763">
        <f t="shared" si="6"/>
        <v>0</v>
      </c>
      <c r="H53" s="302">
        <f>+IF(D53&gt;G53,D53,G53)</f>
        <v>0</v>
      </c>
      <c r="I53" s="387">
        <f t="shared" si="0"/>
        <v>0</v>
      </c>
      <c r="J53" s="381"/>
      <c r="K53" s="390"/>
    </row>
    <row r="54" spans="1:11" ht="34.5" customHeight="1">
      <c r="A54" s="374"/>
      <c r="B54" s="375"/>
      <c r="C54" s="391" t="s">
        <v>504</v>
      </c>
      <c r="D54" s="392">
        <f>+'2020년예산서지출'!C99</f>
        <v>42000000</v>
      </c>
      <c r="E54" s="764">
        <v>0</v>
      </c>
      <c r="F54" s="762">
        <v>42000000</v>
      </c>
      <c r="G54" s="763">
        <f>+E54+F54</f>
        <v>42000000</v>
      </c>
      <c r="H54" s="302">
        <f>+IF(D54&gt;G54,D54,G54)</f>
        <v>42000000</v>
      </c>
      <c r="I54" s="407">
        <f t="shared" si="0"/>
        <v>0</v>
      </c>
      <c r="J54" s="385"/>
      <c r="K54" s="355">
        <f>+H54-G54</f>
        <v>0</v>
      </c>
    </row>
    <row r="55" spans="1:10" ht="34.5" customHeight="1">
      <c r="A55" s="374"/>
      <c r="B55" s="394" t="s">
        <v>505</v>
      </c>
      <c r="C55" s="391"/>
      <c r="D55" s="383">
        <f>SUM(D56:D61)</f>
        <v>66161000000</v>
      </c>
      <c r="E55" s="383">
        <f>SUM(E56:E61)</f>
        <v>40928432409</v>
      </c>
      <c r="F55" s="383">
        <f>SUM(F56:F61)</f>
        <v>20892567591</v>
      </c>
      <c r="G55" s="384">
        <f>SUM(G56:G61)</f>
        <v>61821000000</v>
      </c>
      <c r="H55" s="302">
        <f>SUM(H56:H61)</f>
        <v>66161000000</v>
      </c>
      <c r="I55" s="407">
        <f t="shared" si="0"/>
        <v>0</v>
      </c>
      <c r="J55" s="385"/>
    </row>
    <row r="56" spans="1:11" ht="34.5" customHeight="1">
      <c r="A56" s="374"/>
      <c r="B56" s="375"/>
      <c r="C56" s="391" t="s">
        <v>506</v>
      </c>
      <c r="D56" s="377">
        <f>+'2020년예산서지출'!C101</f>
        <v>32000000000</v>
      </c>
      <c r="E56" s="770">
        <v>20596108548</v>
      </c>
      <c r="F56" s="771">
        <v>10403891452</v>
      </c>
      <c r="G56" s="772">
        <f>+E56+F56</f>
        <v>31000000000</v>
      </c>
      <c r="H56" s="302">
        <f>+IF(D56&gt;G56,D56,G56)</f>
        <v>32000000000</v>
      </c>
      <c r="I56" s="407">
        <f>+H56-D56</f>
        <v>0</v>
      </c>
      <c r="J56" s="406" t="s">
        <v>831</v>
      </c>
      <c r="K56" s="390">
        <f aca="true" t="shared" si="7" ref="K56:K61">+H56-G56</f>
        <v>1000000000</v>
      </c>
    </row>
    <row r="57" spans="1:11" ht="34.5" customHeight="1">
      <c r="A57" s="374"/>
      <c r="B57" s="375"/>
      <c r="C57" s="409" t="s">
        <v>505</v>
      </c>
      <c r="D57" s="377">
        <f>+'2020년예산서지출'!C104</f>
        <v>18401000000</v>
      </c>
      <c r="E57" s="770">
        <v>11106263475</v>
      </c>
      <c r="F57" s="771">
        <v>6294736525</v>
      </c>
      <c r="G57" s="772">
        <f>+E57+F57</f>
        <v>17401000000</v>
      </c>
      <c r="H57" s="302">
        <f>+IF(D57&gt;G57,D57,G57)</f>
        <v>18401000000</v>
      </c>
      <c r="I57" s="410">
        <f t="shared" si="0"/>
        <v>0</v>
      </c>
      <c r="J57" s="414" t="s">
        <v>822</v>
      </c>
      <c r="K57" s="390">
        <f t="shared" si="7"/>
        <v>1000000000</v>
      </c>
    </row>
    <row r="58" spans="1:11" ht="34.5" customHeight="1">
      <c r="A58" s="374"/>
      <c r="B58" s="375"/>
      <c r="C58" s="391" t="s">
        <v>487</v>
      </c>
      <c r="D58" s="392">
        <f>+'2020년예산서지출'!C111</f>
        <v>10000000000</v>
      </c>
      <c r="E58" s="773">
        <v>6563765486</v>
      </c>
      <c r="F58" s="771">
        <v>2768234514</v>
      </c>
      <c r="G58" s="772">
        <f>+E58+F58</f>
        <v>9332000000</v>
      </c>
      <c r="H58" s="302">
        <f>+IF(D58&gt;G58,D58,G58)</f>
        <v>10000000000</v>
      </c>
      <c r="I58" s="407">
        <f>H58-D58</f>
        <v>0</v>
      </c>
      <c r="J58" s="385" t="s">
        <v>507</v>
      </c>
      <c r="K58" s="390">
        <f t="shared" si="7"/>
        <v>668000000</v>
      </c>
    </row>
    <row r="59" spans="1:11" ht="34.5" customHeight="1">
      <c r="A59" s="374"/>
      <c r="B59" s="375"/>
      <c r="C59" s="415" t="s">
        <v>207</v>
      </c>
      <c r="D59" s="377">
        <f>+'2020년예산서지출'!C114</f>
        <v>1610000000</v>
      </c>
      <c r="E59" s="770">
        <v>96756700</v>
      </c>
      <c r="F59" s="771">
        <v>150243300</v>
      </c>
      <c r="G59" s="772">
        <f>+E59+F59</f>
        <v>247000000</v>
      </c>
      <c r="H59" s="302">
        <f>+IF(D59&gt;G59,D59,G59)</f>
        <v>1610000000</v>
      </c>
      <c r="I59" s="407">
        <f>H59-D59</f>
        <v>0</v>
      </c>
      <c r="J59" s="416"/>
      <c r="K59" s="390">
        <f t="shared" si="7"/>
        <v>1363000000</v>
      </c>
    </row>
    <row r="60" spans="1:11" ht="34.5" customHeight="1">
      <c r="A60" s="374"/>
      <c r="B60" s="375"/>
      <c r="C60" s="409" t="s">
        <v>508</v>
      </c>
      <c r="D60" s="377">
        <f>+'2020년예산서지출'!C115</f>
        <v>2075000000</v>
      </c>
      <c r="E60" s="770">
        <v>1099677647</v>
      </c>
      <c r="F60" s="771">
        <v>675322353</v>
      </c>
      <c r="G60" s="772">
        <f>+E60+F60</f>
        <v>1775000000</v>
      </c>
      <c r="H60" s="302">
        <f>+IF(D60&gt;G60,D60,G60)</f>
        <v>2075000000</v>
      </c>
      <c r="I60" s="410">
        <f t="shared" si="0"/>
        <v>0</v>
      </c>
      <c r="J60" s="416"/>
      <c r="K60" s="390">
        <f t="shared" si="7"/>
        <v>300000000</v>
      </c>
    </row>
    <row r="61" spans="1:11" ht="34.5" customHeight="1">
      <c r="A61" s="374"/>
      <c r="B61" s="375"/>
      <c r="C61" s="409" t="s">
        <v>509</v>
      </c>
      <c r="D61" s="377">
        <f>+'2020년예산서지출'!C116</f>
        <v>2075000000</v>
      </c>
      <c r="E61" s="770">
        <v>1465860553</v>
      </c>
      <c r="F61" s="771">
        <v>600139447</v>
      </c>
      <c r="G61" s="772">
        <f>+E61+F61</f>
        <v>2066000000</v>
      </c>
      <c r="H61" s="302">
        <f>+IF(D61&gt;G61,D61,G61)</f>
        <v>2075000000</v>
      </c>
      <c r="I61" s="410">
        <f t="shared" si="0"/>
        <v>0</v>
      </c>
      <c r="J61" s="416"/>
      <c r="K61" s="390">
        <f t="shared" si="7"/>
        <v>9000000</v>
      </c>
    </row>
    <row r="62" spans="1:10" ht="34.5" customHeight="1">
      <c r="A62" s="366" t="s">
        <v>510</v>
      </c>
      <c r="B62" s="367"/>
      <c r="C62" s="368"/>
      <c r="D62" s="369">
        <f>D63</f>
        <v>1265000000</v>
      </c>
      <c r="E62" s="369">
        <f>E63</f>
        <v>1118001366</v>
      </c>
      <c r="F62" s="369">
        <f>F63</f>
        <v>600998634</v>
      </c>
      <c r="G62" s="370">
        <f>G63</f>
        <v>1719000000</v>
      </c>
      <c r="H62" s="371">
        <f>H63</f>
        <v>1719000000</v>
      </c>
      <c r="I62" s="400">
        <f t="shared" si="0"/>
        <v>454000000</v>
      </c>
      <c r="J62" s="373"/>
    </row>
    <row r="63" spans="1:10" ht="34.5" customHeight="1">
      <c r="A63" s="374"/>
      <c r="B63" s="375" t="s">
        <v>511</v>
      </c>
      <c r="C63" s="376"/>
      <c r="D63" s="401">
        <f>SUM(D64)</f>
        <v>1265000000</v>
      </c>
      <c r="E63" s="401">
        <f>SUM(E64)</f>
        <v>1118001366</v>
      </c>
      <c r="F63" s="401">
        <f>SUM(F64)</f>
        <v>600998634</v>
      </c>
      <c r="G63" s="378">
        <f>SUM(E63:F63)</f>
        <v>1719000000</v>
      </c>
      <c r="H63" s="402">
        <f>SUM(H64)</f>
        <v>1719000000</v>
      </c>
      <c r="I63" s="387">
        <f t="shared" si="0"/>
        <v>454000000</v>
      </c>
      <c r="J63" s="381"/>
    </row>
    <row r="64" spans="1:11" ht="34.5" customHeight="1">
      <c r="A64" s="395"/>
      <c r="B64" s="396"/>
      <c r="C64" s="417" t="s">
        <v>512</v>
      </c>
      <c r="D64" s="418">
        <f>+'2020년예산서지출'!C119</f>
        <v>1265000000</v>
      </c>
      <c r="E64" s="775">
        <v>1118001366</v>
      </c>
      <c r="F64" s="774">
        <v>600998634</v>
      </c>
      <c r="G64" s="384">
        <f>+E64+F64</f>
        <v>1719000000</v>
      </c>
      <c r="H64" s="302">
        <f>+G64</f>
        <v>1719000000</v>
      </c>
      <c r="I64" s="398">
        <f t="shared" si="0"/>
        <v>454000000</v>
      </c>
      <c r="J64" s="419"/>
      <c r="K64" s="355">
        <f>+H64-G64</f>
        <v>0</v>
      </c>
    </row>
    <row r="65" spans="1:10" ht="34.5" customHeight="1">
      <c r="A65" s="366" t="s">
        <v>513</v>
      </c>
      <c r="B65" s="367"/>
      <c r="C65" s="368"/>
      <c r="D65" s="369">
        <f>D66+D68</f>
        <v>500000000</v>
      </c>
      <c r="E65" s="369">
        <f>E66+E68</f>
        <v>189045136</v>
      </c>
      <c r="F65" s="369">
        <f>F66+F68</f>
        <v>310954864</v>
      </c>
      <c r="G65" s="370">
        <f>G66+G68</f>
        <v>500000000</v>
      </c>
      <c r="H65" s="371">
        <f>H66+H68</f>
        <v>500000000</v>
      </c>
      <c r="I65" s="400">
        <f t="shared" si="0"/>
        <v>0</v>
      </c>
      <c r="J65" s="373"/>
    </row>
    <row r="66" spans="1:10" ht="34.5" customHeight="1">
      <c r="A66" s="374"/>
      <c r="B66" s="375" t="s">
        <v>514</v>
      </c>
      <c r="C66" s="376"/>
      <c r="D66" s="401">
        <f>SUM(D67)</f>
        <v>0</v>
      </c>
      <c r="E66" s="401">
        <f>SUM(E67)</f>
        <v>0</v>
      </c>
      <c r="F66" s="401">
        <f>SUM(F67)</f>
        <v>0</v>
      </c>
      <c r="G66" s="378">
        <f>SUM(E66:F66)</f>
        <v>0</v>
      </c>
      <c r="H66" s="402">
        <f>SUM(H67)</f>
        <v>0</v>
      </c>
      <c r="I66" s="387">
        <f t="shared" si="0"/>
        <v>0</v>
      </c>
      <c r="J66" s="381"/>
    </row>
    <row r="67" spans="1:10" ht="34.5" customHeight="1">
      <c r="A67" s="374"/>
      <c r="B67" s="420"/>
      <c r="C67" s="376" t="s">
        <v>514</v>
      </c>
      <c r="D67" s="377">
        <v>0</v>
      </c>
      <c r="E67" s="377">
        <f>+'[7]월별지출(확인용'!O134</f>
        <v>0</v>
      </c>
      <c r="F67" s="377">
        <v>0</v>
      </c>
      <c r="G67" s="384">
        <f>SUM(E67:F67)</f>
        <v>0</v>
      </c>
      <c r="H67" s="302">
        <f>+IF(D67&gt;G67,D67,G67)</f>
        <v>0</v>
      </c>
      <c r="I67" s="407">
        <f t="shared" si="0"/>
        <v>0</v>
      </c>
      <c r="J67" s="381"/>
    </row>
    <row r="68" spans="1:10" ht="34.5" customHeight="1">
      <c r="A68" s="374"/>
      <c r="B68" s="421" t="s">
        <v>515</v>
      </c>
      <c r="C68" s="376"/>
      <c r="D68" s="401">
        <f>SUM(D69:D69)</f>
        <v>500000000</v>
      </c>
      <c r="E68" s="401">
        <f>SUM(E69:E69)</f>
        <v>189045136</v>
      </c>
      <c r="F68" s="401">
        <f>SUM(F69:F69)</f>
        <v>310954864</v>
      </c>
      <c r="G68" s="378">
        <f>SUM(G69:G69)</f>
        <v>500000000</v>
      </c>
      <c r="H68" s="402">
        <f>SUM(H69:H69)</f>
        <v>500000000</v>
      </c>
      <c r="I68" s="387">
        <f t="shared" si="0"/>
        <v>0</v>
      </c>
      <c r="J68" s="381"/>
    </row>
    <row r="69" spans="1:11" ht="34.5" customHeight="1">
      <c r="A69" s="374"/>
      <c r="B69" s="375"/>
      <c r="C69" s="376" t="s">
        <v>516</v>
      </c>
      <c r="D69" s="377">
        <f>+'2020년예산서지출'!C125</f>
        <v>500000000</v>
      </c>
      <c r="E69" s="776">
        <v>189045136</v>
      </c>
      <c r="F69" s="777">
        <v>310954864</v>
      </c>
      <c r="G69" s="384">
        <f>+E69+F69</f>
        <v>500000000</v>
      </c>
      <c r="H69" s="302">
        <f>+IF(D69&gt;G69,D69,G69)</f>
        <v>500000000</v>
      </c>
      <c r="I69" s="407">
        <f t="shared" si="0"/>
        <v>0</v>
      </c>
      <c r="J69" s="381" t="s">
        <v>517</v>
      </c>
      <c r="K69" s="355">
        <f>+H69-G69</f>
        <v>0</v>
      </c>
    </row>
    <row r="70" spans="1:10" ht="34.5" customHeight="1">
      <c r="A70" s="422" t="s">
        <v>518</v>
      </c>
      <c r="B70" s="367"/>
      <c r="C70" s="368"/>
      <c r="D70" s="369">
        <f aca="true" t="shared" si="8" ref="D70:H71">D71</f>
        <v>3000000000</v>
      </c>
      <c r="E70" s="369">
        <f t="shared" si="8"/>
        <v>1242687060</v>
      </c>
      <c r="F70" s="369">
        <f t="shared" si="8"/>
        <v>1757312940</v>
      </c>
      <c r="G70" s="370">
        <f t="shared" si="8"/>
        <v>3000000000</v>
      </c>
      <c r="H70" s="371">
        <f t="shared" si="8"/>
        <v>3000000000</v>
      </c>
      <c r="I70" s="400">
        <f>H70-D70</f>
        <v>0</v>
      </c>
      <c r="J70" s="373"/>
    </row>
    <row r="71" spans="1:10" ht="34.5" customHeight="1">
      <c r="A71" s="423"/>
      <c r="B71" s="375" t="s">
        <v>519</v>
      </c>
      <c r="C71" s="376"/>
      <c r="D71" s="401">
        <f t="shared" si="8"/>
        <v>3000000000</v>
      </c>
      <c r="E71" s="401">
        <f t="shared" si="8"/>
        <v>1242687060</v>
      </c>
      <c r="F71" s="401">
        <f t="shared" si="8"/>
        <v>1757312940</v>
      </c>
      <c r="G71" s="378">
        <f t="shared" si="8"/>
        <v>3000000000</v>
      </c>
      <c r="H71" s="402">
        <f t="shared" si="8"/>
        <v>3000000000</v>
      </c>
      <c r="I71" s="387">
        <f>H71-D71</f>
        <v>0</v>
      </c>
      <c r="J71" s="381"/>
    </row>
    <row r="72" spans="1:11" ht="34.5" customHeight="1">
      <c r="A72" s="423"/>
      <c r="B72" s="375"/>
      <c r="C72" s="376" t="s">
        <v>520</v>
      </c>
      <c r="D72" s="377">
        <f>+'2020년예산서지출'!C126</f>
        <v>3000000000</v>
      </c>
      <c r="E72" s="779">
        <v>1242687060</v>
      </c>
      <c r="F72" s="778">
        <v>1757312940</v>
      </c>
      <c r="G72" s="384">
        <f>+E72+F72</f>
        <v>3000000000</v>
      </c>
      <c r="H72" s="302">
        <f>+G72</f>
        <v>3000000000</v>
      </c>
      <c r="I72" s="407">
        <f>H72-D72</f>
        <v>0</v>
      </c>
      <c r="J72" s="385"/>
      <c r="K72" s="355">
        <f>+H72-G72</f>
        <v>0</v>
      </c>
    </row>
    <row r="73" spans="1:10" ht="34.5" customHeight="1">
      <c r="A73" s="366" t="s">
        <v>521</v>
      </c>
      <c r="B73" s="367"/>
      <c r="C73" s="368"/>
      <c r="D73" s="369">
        <f>SUM(D74)</f>
        <v>12210000000</v>
      </c>
      <c r="E73" s="369">
        <f>SUM(E74)</f>
        <v>2734762384</v>
      </c>
      <c r="F73" s="369">
        <f>SUM(F74)</f>
        <v>9552237616</v>
      </c>
      <c r="G73" s="370">
        <f>SUM(G74)</f>
        <v>12287000000</v>
      </c>
      <c r="H73" s="371">
        <f>SUM(H74)</f>
        <v>12210000000</v>
      </c>
      <c r="I73" s="400">
        <f t="shared" si="0"/>
        <v>0</v>
      </c>
      <c r="J73" s="373"/>
    </row>
    <row r="74" spans="1:10" ht="34.5" customHeight="1">
      <c r="A74" s="374"/>
      <c r="B74" s="375" t="s">
        <v>521</v>
      </c>
      <c r="C74" s="376"/>
      <c r="D74" s="401">
        <f>SUM(D75:D77)</f>
        <v>12210000000</v>
      </c>
      <c r="E74" s="401">
        <f>SUM(E75:E77)</f>
        <v>2734762384</v>
      </c>
      <c r="F74" s="401">
        <f>SUM(F75:F77)</f>
        <v>9552237616</v>
      </c>
      <c r="G74" s="378">
        <f>SUM(G75:G77)</f>
        <v>12287000000</v>
      </c>
      <c r="H74" s="402">
        <f>SUM(H75:H77)</f>
        <v>12210000000</v>
      </c>
      <c r="I74" s="387">
        <f aca="true" t="shared" si="9" ref="I74:I109">H74-D74</f>
        <v>0</v>
      </c>
      <c r="J74" s="381"/>
    </row>
    <row r="75" spans="1:10" ht="35.25" customHeight="1">
      <c r="A75" s="374"/>
      <c r="B75" s="375"/>
      <c r="C75" s="415" t="s">
        <v>522</v>
      </c>
      <c r="D75" s="412">
        <f>+'2020년예산서지출'!C130</f>
        <v>5500000000</v>
      </c>
      <c r="E75" s="781">
        <v>0</v>
      </c>
      <c r="F75" s="780">
        <v>5500000000</v>
      </c>
      <c r="G75" s="384">
        <f>+E75+F75</f>
        <v>5500000000</v>
      </c>
      <c r="H75" s="482">
        <f>+D75</f>
        <v>5500000000</v>
      </c>
      <c r="I75" s="424">
        <f t="shared" si="9"/>
        <v>0</v>
      </c>
      <c r="J75" s="425" t="s">
        <v>523</v>
      </c>
    </row>
    <row r="76" spans="1:10" ht="34.5" customHeight="1">
      <c r="A76" s="374"/>
      <c r="B76" s="375"/>
      <c r="C76" s="415" t="s">
        <v>524</v>
      </c>
      <c r="D76" s="412">
        <v>0</v>
      </c>
      <c r="E76" s="781">
        <v>0</v>
      </c>
      <c r="F76" s="780"/>
      <c r="G76" s="384"/>
      <c r="H76" s="302">
        <f>+IF(D76&gt;G76,D76,G76)</f>
        <v>0</v>
      </c>
      <c r="I76" s="424">
        <f t="shared" si="9"/>
        <v>0</v>
      </c>
      <c r="J76" s="416"/>
    </row>
    <row r="77" spans="1:13" ht="50.25" customHeight="1">
      <c r="A77" s="395"/>
      <c r="B77" s="396"/>
      <c r="C77" s="397" t="s">
        <v>525</v>
      </c>
      <c r="D77" s="411">
        <f>+'2020년예산서지출'!C135</f>
        <v>6710000000</v>
      </c>
      <c r="E77" s="781">
        <v>2734762384</v>
      </c>
      <c r="F77" s="780">
        <f>7252237616-3200000000</f>
        <v>4052237616</v>
      </c>
      <c r="G77" s="384">
        <f>+F77+E77</f>
        <v>6787000000</v>
      </c>
      <c r="H77" s="302">
        <f>+D77</f>
        <v>6710000000</v>
      </c>
      <c r="I77" s="398">
        <f t="shared" si="9"/>
        <v>0</v>
      </c>
      <c r="J77" s="426" t="s">
        <v>1056</v>
      </c>
      <c r="L77" s="19">
        <v>44594500000</v>
      </c>
      <c r="M77" s="19">
        <f>+L77-G77</f>
        <v>37807500000</v>
      </c>
    </row>
    <row r="78" spans="1:10" ht="34.5" customHeight="1">
      <c r="A78" s="366" t="s">
        <v>526</v>
      </c>
      <c r="B78" s="367"/>
      <c r="C78" s="368"/>
      <c r="D78" s="369">
        <f aca="true" t="shared" si="10" ref="D78:H79">D79</f>
        <v>5000000000</v>
      </c>
      <c r="E78" s="369">
        <f t="shared" si="10"/>
        <v>0</v>
      </c>
      <c r="F78" s="369">
        <f t="shared" si="10"/>
        <v>0</v>
      </c>
      <c r="G78" s="370">
        <f t="shared" si="10"/>
        <v>0</v>
      </c>
      <c r="H78" s="371">
        <f t="shared" si="10"/>
        <v>5000000000</v>
      </c>
      <c r="I78" s="400">
        <f t="shared" si="9"/>
        <v>0</v>
      </c>
      <c r="J78" s="373"/>
    </row>
    <row r="79" spans="1:10" ht="34.5" customHeight="1">
      <c r="A79" s="374"/>
      <c r="B79" s="375" t="s">
        <v>526</v>
      </c>
      <c r="C79" s="376"/>
      <c r="D79" s="401">
        <f t="shared" si="10"/>
        <v>5000000000</v>
      </c>
      <c r="E79" s="401">
        <f t="shared" si="10"/>
        <v>0</v>
      </c>
      <c r="F79" s="401">
        <f t="shared" si="10"/>
        <v>0</v>
      </c>
      <c r="G79" s="378">
        <f t="shared" si="10"/>
        <v>0</v>
      </c>
      <c r="H79" s="402">
        <f t="shared" si="10"/>
        <v>5000000000</v>
      </c>
      <c r="I79" s="387">
        <f t="shared" si="9"/>
        <v>0</v>
      </c>
      <c r="J79" s="381"/>
    </row>
    <row r="80" spans="1:10" ht="34.5" customHeight="1">
      <c r="A80" s="395"/>
      <c r="B80" s="396"/>
      <c r="C80" s="397" t="s">
        <v>526</v>
      </c>
      <c r="D80" s="411">
        <f>+'2020년예산서지출'!C140</f>
        <v>5000000000</v>
      </c>
      <c r="E80" s="411">
        <f>+'[7]월별지출(확인용'!O156</f>
        <v>0</v>
      </c>
      <c r="F80" s="383">
        <f>+G80-E80</f>
        <v>0</v>
      </c>
      <c r="G80" s="384">
        <f>+ROUNDUP(E80+('[7]월별지출(확인용'!S156),-6)</f>
        <v>0</v>
      </c>
      <c r="H80" s="302">
        <f>+IF(D80&gt;G80,D80,G80)</f>
        <v>5000000000</v>
      </c>
      <c r="I80" s="398">
        <f t="shared" si="9"/>
        <v>0</v>
      </c>
      <c r="J80" s="427" t="s">
        <v>20</v>
      </c>
    </row>
    <row r="81" spans="1:10" ht="34.5" customHeight="1">
      <c r="A81" s="422" t="s">
        <v>527</v>
      </c>
      <c r="B81" s="367"/>
      <c r="C81" s="368"/>
      <c r="D81" s="369">
        <f>D87+D82+D84</f>
        <v>0</v>
      </c>
      <c r="E81" s="369">
        <f>E87+E82+E84</f>
        <v>66997000000</v>
      </c>
      <c r="F81" s="369">
        <f>F87+F82+F84</f>
        <v>650000000</v>
      </c>
      <c r="G81" s="370">
        <f>G87+G82+G84</f>
        <v>67647000000</v>
      </c>
      <c r="H81" s="371">
        <f>H87+H82+H84</f>
        <v>67647000000</v>
      </c>
      <c r="I81" s="400">
        <f t="shared" si="9"/>
        <v>67647000000</v>
      </c>
      <c r="J81" s="373"/>
    </row>
    <row r="82" spans="1:10" ht="34.5" customHeight="1">
      <c r="A82" s="423"/>
      <c r="B82" s="375" t="s">
        <v>528</v>
      </c>
      <c r="C82" s="376"/>
      <c r="D82" s="401">
        <f>D83</f>
        <v>0</v>
      </c>
      <c r="E82" s="401">
        <f>E83</f>
        <v>66775000000</v>
      </c>
      <c r="F82" s="401"/>
      <c r="G82" s="378">
        <f>G83</f>
        <v>66775000000</v>
      </c>
      <c r="H82" s="402">
        <f>H83</f>
        <v>66775000000</v>
      </c>
      <c r="I82" s="387">
        <f t="shared" si="9"/>
        <v>66775000000</v>
      </c>
      <c r="J82" s="381"/>
    </row>
    <row r="83" spans="1:10" ht="34.5" customHeight="1">
      <c r="A83" s="423"/>
      <c r="B83" s="375"/>
      <c r="C83" s="376" t="s">
        <v>823</v>
      </c>
      <c r="D83" s="377">
        <v>0</v>
      </c>
      <c r="E83" s="782">
        <v>66775000000</v>
      </c>
      <c r="F83" s="782"/>
      <c r="G83" s="384">
        <f>+E83+F83</f>
        <v>66775000000</v>
      </c>
      <c r="H83" s="302">
        <f>+IF(D83&gt;G83,D83,G83)</f>
        <v>66775000000</v>
      </c>
      <c r="I83" s="407">
        <f t="shared" si="9"/>
        <v>66775000000</v>
      </c>
      <c r="J83" s="406" t="s">
        <v>814</v>
      </c>
    </row>
    <row r="84" spans="1:10" ht="34.5" customHeight="1">
      <c r="A84" s="423"/>
      <c r="B84" s="394" t="s">
        <v>529</v>
      </c>
      <c r="C84" s="376"/>
      <c r="D84" s="401">
        <f>SUM(D85:D86)</f>
        <v>0</v>
      </c>
      <c r="E84" s="401">
        <f>SUM(E85:E86)</f>
        <v>0</v>
      </c>
      <c r="F84" s="401">
        <f>SUM(F85:F86)</f>
        <v>0</v>
      </c>
      <c r="G84" s="384">
        <f>SUM(G85:G86)</f>
        <v>0</v>
      </c>
      <c r="H84" s="402">
        <f>SUM(H85:H86)</f>
        <v>0</v>
      </c>
      <c r="I84" s="428">
        <f t="shared" si="9"/>
        <v>0</v>
      </c>
      <c r="J84" s="385"/>
    </row>
    <row r="85" spans="1:10" ht="34.5" customHeight="1">
      <c r="A85" s="423"/>
      <c r="B85" s="375"/>
      <c r="C85" s="429" t="s">
        <v>530</v>
      </c>
      <c r="D85" s="401">
        <v>0</v>
      </c>
      <c r="E85" s="401">
        <f>+'[7]월별지출(확인용'!O161</f>
        <v>0</v>
      </c>
      <c r="F85" s="383">
        <f>+G85-E85</f>
        <v>0</v>
      </c>
      <c r="G85" s="384">
        <f>+ROUNDUP(E85+('[7]월별지출(확인용'!S161),-6)</f>
        <v>0</v>
      </c>
      <c r="H85" s="302">
        <f>+IF(D85&gt;G85,D85,G85)</f>
        <v>0</v>
      </c>
      <c r="I85" s="407">
        <f t="shared" si="9"/>
        <v>0</v>
      </c>
      <c r="J85" s="385"/>
    </row>
    <row r="86" spans="1:10" ht="34.5" customHeight="1">
      <c r="A86" s="423"/>
      <c r="B86" s="375"/>
      <c r="C86" s="376" t="s">
        <v>531</v>
      </c>
      <c r="D86" s="377">
        <v>0</v>
      </c>
      <c r="E86" s="377">
        <f>+'[7]월별지출(확인용'!O162</f>
        <v>0</v>
      </c>
      <c r="F86" s="383">
        <f>+G86-E86</f>
        <v>0</v>
      </c>
      <c r="G86" s="384">
        <f>+ROUNDUP(E86+('[7]월별지출(확인용'!S162),-6)</f>
        <v>0</v>
      </c>
      <c r="H86" s="302">
        <f>+IF(D86&gt;G86,D86,G86)</f>
        <v>0</v>
      </c>
      <c r="I86" s="407">
        <f t="shared" si="9"/>
        <v>0</v>
      </c>
      <c r="J86" s="385"/>
    </row>
    <row r="87" spans="1:10" ht="34.5" customHeight="1">
      <c r="A87" s="374"/>
      <c r="B87" s="394" t="s">
        <v>532</v>
      </c>
      <c r="C87" s="376"/>
      <c r="D87" s="401">
        <f>D88</f>
        <v>0</v>
      </c>
      <c r="E87" s="401">
        <f>E88</f>
        <v>222000000</v>
      </c>
      <c r="F87" s="401">
        <f>F88</f>
        <v>650000000</v>
      </c>
      <c r="G87" s="384">
        <f>G88</f>
        <v>872000000</v>
      </c>
      <c r="H87" s="402">
        <f>H88</f>
        <v>872000000</v>
      </c>
      <c r="I87" s="387">
        <f t="shared" si="9"/>
        <v>872000000</v>
      </c>
      <c r="J87" s="385"/>
    </row>
    <row r="88" spans="1:10" ht="34.5" customHeight="1">
      <c r="A88" s="395"/>
      <c r="B88" s="396"/>
      <c r="C88" s="417" t="s">
        <v>533</v>
      </c>
      <c r="D88" s="418">
        <v>0</v>
      </c>
      <c r="E88" s="784">
        <v>222000000</v>
      </c>
      <c r="F88" s="783">
        <v>650000000</v>
      </c>
      <c r="G88" s="384">
        <f>+E88+F88</f>
        <v>872000000</v>
      </c>
      <c r="H88" s="302">
        <f>+IF(D88&gt;G88,D88,G88)</f>
        <v>872000000</v>
      </c>
      <c r="I88" s="398">
        <f t="shared" si="9"/>
        <v>872000000</v>
      </c>
      <c r="J88" s="399" t="s">
        <v>815</v>
      </c>
    </row>
    <row r="89" spans="1:10" ht="34.5" customHeight="1">
      <c r="A89" s="422" t="s">
        <v>534</v>
      </c>
      <c r="B89" s="367"/>
      <c r="C89" s="368"/>
      <c r="D89" s="369">
        <f>D90+D100</f>
        <v>14001000000</v>
      </c>
      <c r="E89" s="369">
        <f>E90+E100</f>
        <v>4241465252</v>
      </c>
      <c r="F89" s="369">
        <f>F90+F100</f>
        <v>9066534748</v>
      </c>
      <c r="G89" s="370">
        <f>G90+G100</f>
        <v>13308000000</v>
      </c>
      <c r="H89" s="371">
        <f>H90+H100</f>
        <v>16508000000</v>
      </c>
      <c r="I89" s="400">
        <f t="shared" si="9"/>
        <v>2507000000</v>
      </c>
      <c r="J89" s="373"/>
    </row>
    <row r="90" spans="1:10" ht="34.5" customHeight="1">
      <c r="A90" s="374"/>
      <c r="B90" s="421" t="s">
        <v>535</v>
      </c>
      <c r="C90" s="376"/>
      <c r="D90" s="401">
        <f>SUM(D91:D99)</f>
        <v>13801000000</v>
      </c>
      <c r="E90" s="401">
        <f>SUM(E91:E99)</f>
        <v>3966465252</v>
      </c>
      <c r="F90" s="401">
        <f>SUM(F91:F99)</f>
        <v>9066534748</v>
      </c>
      <c r="G90" s="378">
        <f>SUM(G91:G99)</f>
        <v>13033000000</v>
      </c>
      <c r="H90" s="402">
        <f>SUM(H91:H99)</f>
        <v>16233000000</v>
      </c>
      <c r="I90" s="387">
        <f t="shared" si="9"/>
        <v>2432000000</v>
      </c>
      <c r="J90" s="381"/>
    </row>
    <row r="91" spans="1:10" ht="34.5" customHeight="1">
      <c r="A91" s="374"/>
      <c r="B91" s="375"/>
      <c r="C91" s="409" t="s">
        <v>536</v>
      </c>
      <c r="D91" s="322">
        <v>0</v>
      </c>
      <c r="E91" s="785">
        <v>41788381</v>
      </c>
      <c r="F91" s="787">
        <v>211619</v>
      </c>
      <c r="G91" s="384">
        <f>+ROUNDUP(E91+('[7]월별지출(확인용'!S167),-6)</f>
        <v>42000000</v>
      </c>
      <c r="H91" s="302">
        <f aca="true" t="shared" si="11" ref="H91:H98">+IF(D91&gt;G91,D91,G91)</f>
        <v>42000000</v>
      </c>
      <c r="I91" s="407">
        <f t="shared" si="9"/>
        <v>42000000</v>
      </c>
      <c r="J91" s="323" t="s">
        <v>828</v>
      </c>
    </row>
    <row r="92" spans="1:11" ht="34.5" customHeight="1">
      <c r="A92" s="395"/>
      <c r="B92" s="396"/>
      <c r="C92" s="417" t="s">
        <v>537</v>
      </c>
      <c r="D92" s="418">
        <f>+'2020년예산서지출'!C154</f>
        <v>1200000000</v>
      </c>
      <c r="E92" s="789">
        <v>1537182115</v>
      </c>
      <c r="F92" s="791">
        <f>+G92-E92</f>
        <v>1352817885</v>
      </c>
      <c r="G92" s="430">
        <v>2890000000</v>
      </c>
      <c r="H92" s="413">
        <f>+IF(D92&gt;G92,D92,G92)</f>
        <v>2890000000</v>
      </c>
      <c r="I92" s="398">
        <f t="shared" si="9"/>
        <v>1690000000</v>
      </c>
      <c r="J92" s="431" t="s">
        <v>829</v>
      </c>
      <c r="K92" s="432"/>
    </row>
    <row r="93" spans="1:10" ht="34.5" customHeight="1">
      <c r="A93" s="374"/>
      <c r="B93" s="375"/>
      <c r="C93" s="376" t="s">
        <v>538</v>
      </c>
      <c r="D93" s="377">
        <v>0</v>
      </c>
      <c r="E93" s="786"/>
      <c r="F93" s="786">
        <v>0</v>
      </c>
      <c r="G93" s="378">
        <f>SUM(E93:F93)</f>
        <v>0</v>
      </c>
      <c r="H93" s="402">
        <f t="shared" si="11"/>
        <v>0</v>
      </c>
      <c r="I93" s="387">
        <f t="shared" si="9"/>
        <v>0</v>
      </c>
      <c r="J93" s="381"/>
    </row>
    <row r="94" spans="1:11" ht="39.75" customHeight="1">
      <c r="A94" s="374"/>
      <c r="B94" s="375"/>
      <c r="C94" s="376" t="s">
        <v>539</v>
      </c>
      <c r="D94" s="377">
        <f>+'2020년예산서지출'!C155</f>
        <v>6000000000</v>
      </c>
      <c r="E94" s="786">
        <v>703956060</v>
      </c>
      <c r="F94" s="787">
        <v>5296043940</v>
      </c>
      <c r="G94" s="384">
        <f>+E94+F94</f>
        <v>6000000000</v>
      </c>
      <c r="H94" s="302">
        <f>+IF(D94&gt;G94,D94,G94)</f>
        <v>6000000000</v>
      </c>
      <c r="I94" s="407">
        <f t="shared" si="9"/>
        <v>0</v>
      </c>
      <c r="J94" s="403"/>
      <c r="K94" s="390"/>
    </row>
    <row r="95" spans="1:11" ht="34.5" customHeight="1">
      <c r="A95" s="374"/>
      <c r="B95" s="375"/>
      <c r="C95" s="409" t="s">
        <v>540</v>
      </c>
      <c r="D95" s="322">
        <f>+'2020년예산서지출'!C158</f>
        <v>5100000000</v>
      </c>
      <c r="E95" s="785">
        <v>257352400</v>
      </c>
      <c r="F95" s="787">
        <f>+G95-E95</f>
        <v>1642647600</v>
      </c>
      <c r="G95" s="384">
        <v>1900000000</v>
      </c>
      <c r="H95" s="302">
        <f>+IF(D95&gt;G95,D95,G95)</f>
        <v>5100000000</v>
      </c>
      <c r="I95" s="407">
        <f t="shared" si="9"/>
        <v>0</v>
      </c>
      <c r="J95" s="433" t="s">
        <v>832</v>
      </c>
      <c r="K95" s="390"/>
    </row>
    <row r="96" spans="1:10" ht="34.5" customHeight="1">
      <c r="A96" s="374"/>
      <c r="B96" s="375"/>
      <c r="C96" s="376" t="s">
        <v>541</v>
      </c>
      <c r="D96" s="377">
        <f>+'[7]2019년 본예산지출'!C165</f>
        <v>0</v>
      </c>
      <c r="E96" s="786">
        <v>0</v>
      </c>
      <c r="F96" s="787">
        <v>0</v>
      </c>
      <c r="G96" s="384">
        <f>+E96+F96</f>
        <v>0</v>
      </c>
      <c r="H96" s="302">
        <f t="shared" si="11"/>
        <v>0</v>
      </c>
      <c r="I96" s="407">
        <f t="shared" si="9"/>
        <v>0</v>
      </c>
      <c r="J96" s="403"/>
    </row>
    <row r="97" spans="1:10" ht="34.5" customHeight="1">
      <c r="A97" s="374"/>
      <c r="B97" s="375"/>
      <c r="C97" s="376" t="s">
        <v>542</v>
      </c>
      <c r="D97" s="434">
        <v>0</v>
      </c>
      <c r="E97" s="790">
        <v>0</v>
      </c>
      <c r="F97" s="787">
        <v>0</v>
      </c>
      <c r="G97" s="384">
        <f>+E97+F97</f>
        <v>0</v>
      </c>
      <c r="H97" s="302">
        <f t="shared" si="11"/>
        <v>0</v>
      </c>
      <c r="I97" s="407">
        <f t="shared" si="9"/>
        <v>0</v>
      </c>
      <c r="J97" s="403"/>
    </row>
    <row r="98" spans="1:11" ht="34.5" customHeight="1">
      <c r="A98" s="374"/>
      <c r="B98" s="375"/>
      <c r="C98" s="391" t="s">
        <v>543</v>
      </c>
      <c r="D98" s="392">
        <f>+'2020년예산서지출'!C163</f>
        <v>1000000</v>
      </c>
      <c r="E98" s="788">
        <v>0</v>
      </c>
      <c r="F98" s="787">
        <v>1000000</v>
      </c>
      <c r="G98" s="384">
        <f>+E98+F98</f>
        <v>1000000</v>
      </c>
      <c r="H98" s="302">
        <f t="shared" si="11"/>
        <v>1000000</v>
      </c>
      <c r="I98" s="407">
        <f t="shared" si="9"/>
        <v>0</v>
      </c>
      <c r="J98" s="385" t="s">
        <v>544</v>
      </c>
      <c r="K98" s="386"/>
    </row>
    <row r="99" spans="1:10" ht="36">
      <c r="A99" s="374"/>
      <c r="B99" s="420"/>
      <c r="C99" s="391" t="s">
        <v>545</v>
      </c>
      <c r="D99" s="392">
        <f>+'2020년예산서지출'!C165</f>
        <v>1500000000</v>
      </c>
      <c r="E99" s="788">
        <v>1426186296</v>
      </c>
      <c r="F99" s="787">
        <f>+G99-E99</f>
        <v>773813704</v>
      </c>
      <c r="G99" s="384">
        <v>2200000000</v>
      </c>
      <c r="H99" s="302">
        <f>+G99</f>
        <v>2200000000</v>
      </c>
      <c r="I99" s="387">
        <f t="shared" si="9"/>
        <v>700000000</v>
      </c>
      <c r="J99" s="406" t="s">
        <v>833</v>
      </c>
    </row>
    <row r="100" spans="1:10" ht="34.5" customHeight="1">
      <c r="A100" s="435"/>
      <c r="B100" s="421" t="s">
        <v>546</v>
      </c>
      <c r="C100" s="436"/>
      <c r="D100" s="437">
        <f>D101</f>
        <v>200000000</v>
      </c>
      <c r="E100" s="437">
        <f>SUM(E101)</f>
        <v>275000000</v>
      </c>
      <c r="F100" s="437">
        <f>SUM(F101)</f>
        <v>0</v>
      </c>
      <c r="G100" s="437">
        <f>SUM(G101)</f>
        <v>275000000</v>
      </c>
      <c r="H100" s="438">
        <f>H101</f>
        <v>275000000</v>
      </c>
      <c r="I100" s="439">
        <f t="shared" si="9"/>
        <v>75000000</v>
      </c>
      <c r="J100" s="381"/>
    </row>
    <row r="101" spans="1:10" ht="34.5" customHeight="1">
      <c r="A101" s="359"/>
      <c r="B101" s="343"/>
      <c r="C101" s="440" t="s">
        <v>547</v>
      </c>
      <c r="D101" s="441">
        <f>+'2020년예산서지출'!C169</f>
        <v>200000000</v>
      </c>
      <c r="E101" s="441">
        <v>275000000</v>
      </c>
      <c r="F101" s="383"/>
      <c r="G101" s="384">
        <f>+E101+F101</f>
        <v>275000000</v>
      </c>
      <c r="H101" s="302">
        <f>+IF(D101&gt;G101,D101,G101)</f>
        <v>275000000</v>
      </c>
      <c r="I101" s="442">
        <f t="shared" si="9"/>
        <v>75000000</v>
      </c>
      <c r="J101" s="399"/>
    </row>
    <row r="102" spans="1:10" ht="34.5" customHeight="1">
      <c r="A102" s="422" t="s">
        <v>548</v>
      </c>
      <c r="B102" s="367"/>
      <c r="C102" s="368"/>
      <c r="D102" s="369">
        <f>D103+D106</f>
        <v>0</v>
      </c>
      <c r="E102" s="369">
        <f>E103+E106</f>
        <v>430000000</v>
      </c>
      <c r="F102" s="369">
        <f>F103+F106</f>
        <v>0</v>
      </c>
      <c r="G102" s="370">
        <f>SUM(E102:F102)</f>
        <v>430000000</v>
      </c>
      <c r="H102" s="371">
        <f>H103+H106</f>
        <v>430000000</v>
      </c>
      <c r="I102" s="400">
        <f t="shared" si="9"/>
        <v>430000000</v>
      </c>
      <c r="J102" s="373"/>
    </row>
    <row r="103" spans="1:10" ht="34.5" customHeight="1">
      <c r="A103" s="423"/>
      <c r="B103" s="375" t="s">
        <v>549</v>
      </c>
      <c r="C103" s="376"/>
      <c r="D103" s="401">
        <f>SUM(D104:D105)</f>
        <v>0</v>
      </c>
      <c r="E103" s="401">
        <f>SUM(E104:E105)</f>
        <v>0</v>
      </c>
      <c r="F103" s="401">
        <f>SUM(F104:F105)</f>
        <v>0</v>
      </c>
      <c r="G103" s="378">
        <f>SUM(G104:G105)</f>
        <v>0</v>
      </c>
      <c r="H103" s="402">
        <f>SUM(H104:H105)</f>
        <v>0</v>
      </c>
      <c r="I103" s="387">
        <f t="shared" si="9"/>
        <v>0</v>
      </c>
      <c r="J103" s="381"/>
    </row>
    <row r="104" spans="1:10" ht="34.5" customHeight="1">
      <c r="A104" s="423"/>
      <c r="B104" s="375"/>
      <c r="C104" s="376" t="s">
        <v>549</v>
      </c>
      <c r="D104" s="401">
        <v>0</v>
      </c>
      <c r="E104" s="401">
        <f>+'[7]월별지출(확인용'!O200</f>
        <v>0</v>
      </c>
      <c r="F104" s="383">
        <f>+G104-E104</f>
        <v>0</v>
      </c>
      <c r="G104" s="384">
        <f>+ROUNDUP(E104+('[7]월별지출(확인용'!S200),-6)</f>
        <v>0</v>
      </c>
      <c r="H104" s="302">
        <f>+IF(D104&gt;G104,D104,G104)</f>
        <v>0</v>
      </c>
      <c r="I104" s="387">
        <f t="shared" si="9"/>
        <v>0</v>
      </c>
      <c r="J104" s="385"/>
    </row>
    <row r="105" spans="1:10" ht="34.5" customHeight="1">
      <c r="A105" s="423"/>
      <c r="B105" s="375"/>
      <c r="C105" s="376" t="s">
        <v>550</v>
      </c>
      <c r="D105" s="377">
        <v>0</v>
      </c>
      <c r="E105" s="377">
        <f>+'[7]월별지출(확인용'!O201</f>
        <v>0</v>
      </c>
      <c r="F105" s="383">
        <f>+G105-E105</f>
        <v>0</v>
      </c>
      <c r="G105" s="384">
        <f>+ROUNDUP(E105+('[7]월별지출(확인용'!S201),-6)</f>
        <v>0</v>
      </c>
      <c r="H105" s="302">
        <f>+IF(D105&gt;G105,D105,G105)</f>
        <v>0</v>
      </c>
      <c r="I105" s="407">
        <f t="shared" si="9"/>
        <v>0</v>
      </c>
      <c r="J105" s="385"/>
    </row>
    <row r="106" spans="1:10" ht="34.5" customHeight="1">
      <c r="A106" s="423"/>
      <c r="B106" s="394" t="s">
        <v>551</v>
      </c>
      <c r="C106" s="376"/>
      <c r="D106" s="401">
        <f>SUM(D107:D109)</f>
        <v>0</v>
      </c>
      <c r="E106" s="401">
        <f>SUM(E107:E109)</f>
        <v>430000000</v>
      </c>
      <c r="F106" s="401">
        <f>SUM(F107:F109)</f>
        <v>0</v>
      </c>
      <c r="G106" s="401">
        <f>SUM(G107:G109)</f>
        <v>430000000</v>
      </c>
      <c r="H106" s="402">
        <f>SUM(H107:H109)</f>
        <v>430000000</v>
      </c>
      <c r="I106" s="428">
        <f t="shared" si="9"/>
        <v>430000000</v>
      </c>
      <c r="J106" s="385"/>
    </row>
    <row r="107" spans="1:10" ht="34.5" customHeight="1">
      <c r="A107" s="423"/>
      <c r="B107" s="375"/>
      <c r="C107" s="429" t="s">
        <v>552</v>
      </c>
      <c r="D107" s="401">
        <v>0</v>
      </c>
      <c r="E107" s="401">
        <v>430000000</v>
      </c>
      <c r="F107" s="383">
        <f>+G107-E107</f>
        <v>0</v>
      </c>
      <c r="G107" s="384">
        <f>+ROUNDUP(E107+('[7]월별지출(확인용'!S203),-6)</f>
        <v>430000000</v>
      </c>
      <c r="H107" s="302">
        <f>+IF(D107&gt;G107,D107,G107)</f>
        <v>430000000</v>
      </c>
      <c r="I107" s="407">
        <f t="shared" si="9"/>
        <v>430000000</v>
      </c>
      <c r="J107" s="406" t="s">
        <v>816</v>
      </c>
    </row>
    <row r="108" spans="1:10" ht="34.5" customHeight="1">
      <c r="A108" s="423"/>
      <c r="B108" s="375"/>
      <c r="C108" s="429" t="s">
        <v>553</v>
      </c>
      <c r="D108" s="401">
        <v>0</v>
      </c>
      <c r="E108" s="401">
        <f>+'[7]월별지출(확인용'!O204</f>
        <v>0</v>
      </c>
      <c r="F108" s="383">
        <f>+G108-E108</f>
        <v>0</v>
      </c>
      <c r="G108" s="384">
        <f>+ROUNDUP(E108+('[7]월별지출(확인용'!S204),-6)</f>
        <v>0</v>
      </c>
      <c r="H108" s="302">
        <f>+IF(D108&gt;G108,D108,G108)</f>
        <v>0</v>
      </c>
      <c r="I108" s="407">
        <f t="shared" si="9"/>
        <v>0</v>
      </c>
      <c r="J108" s="385"/>
    </row>
    <row r="109" spans="1:10" ht="34.5" customHeight="1">
      <c r="A109" s="292"/>
      <c r="B109" s="277"/>
      <c r="C109" s="443" t="s">
        <v>551</v>
      </c>
      <c r="D109" s="444">
        <v>0</v>
      </c>
      <c r="E109" s="444">
        <f>+'[7]월별지출(확인용'!O205</f>
        <v>0</v>
      </c>
      <c r="F109" s="383">
        <f>+G109-E109</f>
        <v>0</v>
      </c>
      <c r="G109" s="384">
        <f>+ROUNDUP(E109+('[7]월별지출(확인용'!S205),-6)</f>
        <v>0</v>
      </c>
      <c r="H109" s="302">
        <f>+IF(D109&gt;G109,D109,G109)</f>
        <v>0</v>
      </c>
      <c r="I109" s="445">
        <f t="shared" si="9"/>
        <v>0</v>
      </c>
      <c r="J109" s="416"/>
    </row>
    <row r="110" spans="1:10" ht="34.5" customHeight="1">
      <c r="A110" s="422" t="s">
        <v>554</v>
      </c>
      <c r="B110" s="367"/>
      <c r="C110" s="368"/>
      <c r="D110" s="369">
        <f>+'2020년예산서지출'!C181</f>
        <v>103587999999.54004</v>
      </c>
      <c r="E110" s="369"/>
      <c r="F110" s="369"/>
      <c r="G110" s="369"/>
      <c r="H110" s="369">
        <f>+'20년 추경수입(대전)'!H6-H7-H25-H62-H65-H73-H78-H70-H81-H89-H102</f>
        <v>62961251279.29004</v>
      </c>
      <c r="I110" s="400">
        <f>H110-D110</f>
        <v>-40626748720.25</v>
      </c>
      <c r="J110" s="373"/>
    </row>
    <row r="111" spans="1:10" ht="34.5" customHeight="1" hidden="1">
      <c r="A111" s="374"/>
      <c r="B111" s="375" t="s">
        <v>555</v>
      </c>
      <c r="C111" s="376"/>
      <c r="D111" s="369">
        <f>'[6]수입'!D6-D8-D26-D63-D66-D74-D79-D71-D82-D90-D103</f>
        <v>154856000000</v>
      </c>
      <c r="E111" s="446"/>
      <c r="F111" s="446"/>
      <c r="G111" s="447">
        <f aca="true" t="shared" si="12" ref="G111:G118">SUM(F111:F111)</f>
        <v>0</v>
      </c>
      <c r="H111" s="446"/>
      <c r="I111" s="447"/>
      <c r="J111" s="381"/>
    </row>
    <row r="112" spans="1:10" ht="34.5" customHeight="1" hidden="1">
      <c r="A112" s="374"/>
      <c r="B112" s="375"/>
      <c r="C112" s="391" t="s">
        <v>556</v>
      </c>
      <c r="D112" s="369">
        <f>'[6]수입'!D7-D9-D27-D64-D67-D75-D80-D72-D83-D91-D104</f>
        <v>196455000000</v>
      </c>
      <c r="E112" s="448"/>
      <c r="F112" s="448"/>
      <c r="G112" s="449">
        <f t="shared" si="12"/>
        <v>0</v>
      </c>
      <c r="H112" s="448"/>
      <c r="I112" s="449"/>
      <c r="J112" s="385"/>
    </row>
    <row r="113" spans="1:10" ht="34.5" customHeight="1" hidden="1">
      <c r="A113" s="374"/>
      <c r="B113" s="375"/>
      <c r="C113" s="391" t="s">
        <v>557</v>
      </c>
      <c r="D113" s="369">
        <f>'[6]수입'!D8-D10-D28-D65-D68-D76-D81-D73-D84-D92-D105</f>
        <v>116883000000</v>
      </c>
      <c r="E113" s="448"/>
      <c r="F113" s="448"/>
      <c r="G113" s="449">
        <f t="shared" si="12"/>
        <v>0</v>
      </c>
      <c r="H113" s="448"/>
      <c r="I113" s="449"/>
      <c r="J113" s="385"/>
    </row>
    <row r="114" spans="1:10" ht="34.5" customHeight="1" hidden="1">
      <c r="A114" s="374"/>
      <c r="B114" s="394" t="s">
        <v>558</v>
      </c>
      <c r="C114" s="391"/>
      <c r="D114" s="369">
        <f>'[6]수입'!D9-D11-D29-D66-D69-D77-D82-D74-D85-D93-D106</f>
        <v>38720000000</v>
      </c>
      <c r="E114" s="448"/>
      <c r="F114" s="448"/>
      <c r="G114" s="449">
        <f t="shared" si="12"/>
        <v>0</v>
      </c>
      <c r="H114" s="448"/>
      <c r="I114" s="449"/>
      <c r="J114" s="385"/>
    </row>
    <row r="115" spans="1:10" ht="34.5" customHeight="1" hidden="1">
      <c r="A115" s="374"/>
      <c r="B115" s="375"/>
      <c r="C115" s="391" t="s">
        <v>559</v>
      </c>
      <c r="D115" s="369">
        <f>'[6]수입'!D10-D12-D30-D67-D70-D78-D83-D75-D86-D94-D107</f>
        <v>-8750000000</v>
      </c>
      <c r="E115" s="448"/>
      <c r="F115" s="448"/>
      <c r="G115" s="449">
        <f t="shared" si="12"/>
        <v>0</v>
      </c>
      <c r="H115" s="448"/>
      <c r="I115" s="449"/>
      <c r="J115" s="385"/>
    </row>
    <row r="116" spans="1:10" ht="34.5" customHeight="1" hidden="1">
      <c r="A116" s="374"/>
      <c r="B116" s="375"/>
      <c r="C116" s="391" t="s">
        <v>560</v>
      </c>
      <c r="D116" s="369">
        <f>'[6]수입'!D11-D13-D31-D68-D71-D79-D84-D76-D87-D95-D108</f>
        <v>-20876000000</v>
      </c>
      <c r="E116" s="448"/>
      <c r="F116" s="448"/>
      <c r="G116" s="449">
        <f t="shared" si="12"/>
        <v>0</v>
      </c>
      <c r="H116" s="448"/>
      <c r="I116" s="449"/>
      <c r="J116" s="385"/>
    </row>
    <row r="117" spans="1:10" ht="34.5" customHeight="1" hidden="1">
      <c r="A117" s="374"/>
      <c r="B117" s="375"/>
      <c r="C117" s="391" t="s">
        <v>561</v>
      </c>
      <c r="D117" s="369">
        <f>'[6]수입'!D12-D14-D32-D69-D72-D80-D85-D77-D88-D96-D109</f>
        <v>-15263000000</v>
      </c>
      <c r="E117" s="448"/>
      <c r="F117" s="448"/>
      <c r="G117" s="449">
        <f t="shared" si="12"/>
        <v>0</v>
      </c>
      <c r="H117" s="448"/>
      <c r="I117" s="449"/>
      <c r="J117" s="385"/>
    </row>
    <row r="118" spans="1:10" ht="34.5" customHeight="1" hidden="1">
      <c r="A118" s="395"/>
      <c r="B118" s="396"/>
      <c r="C118" s="397" t="s">
        <v>562</v>
      </c>
      <c r="D118" s="369">
        <f>'[6]수입'!D13-D15-D33-D70-D73-D81-D86-D78-D89-D98-D110</f>
        <v>-137861999999.54004</v>
      </c>
      <c r="E118" s="450"/>
      <c r="F118" s="450"/>
      <c r="G118" s="449">
        <f t="shared" si="12"/>
        <v>0</v>
      </c>
      <c r="H118" s="450"/>
      <c r="I118" s="451"/>
      <c r="J118" s="385"/>
    </row>
    <row r="119" ht="34.5" customHeight="1">
      <c r="J119" s="452"/>
    </row>
    <row r="120" spans="5:10" ht="34.5" customHeight="1">
      <c r="E120" s="453"/>
      <c r="G120" s="91"/>
      <c r="J120" s="452"/>
    </row>
    <row r="121" spans="5:10" ht="34.5" customHeight="1">
      <c r="E121" s="453"/>
      <c r="J121" s="452"/>
    </row>
    <row r="122" ht="34.5" customHeight="1"/>
    <row r="123" ht="34.5" customHeight="1">
      <c r="E123" s="453"/>
    </row>
    <row r="124" ht="34.5" customHeight="1">
      <c r="E124" s="454"/>
    </row>
  </sheetData>
  <sheetProtection/>
  <mergeCells count="7">
    <mergeCell ref="A1:J1"/>
    <mergeCell ref="D4:D5"/>
    <mergeCell ref="E4:E5"/>
    <mergeCell ref="F4:F5"/>
    <mergeCell ref="G4:G5"/>
    <mergeCell ref="H4:H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1" r:id="rId3"/>
  <rowBreaks count="1" manualBreakCount="1">
    <brk id="64" max="9" man="1"/>
  </rowBreaks>
  <colBreaks count="1" manualBreakCount="1">
    <brk id="10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view="pageBreakPreview" zoomScale="70" zoomScaleNormal="85" zoomScaleSheetLayoutView="70" zoomScalePageLayoutView="0" workbookViewId="0" topLeftCell="A1">
      <pane ySplit="5" topLeftCell="A42" activePane="bottomLeft" state="frozen"/>
      <selection pane="topLeft" activeCell="A1" sqref="A1"/>
      <selection pane="bottomLeft" activeCell="G59" sqref="G59"/>
    </sheetView>
  </sheetViews>
  <sheetFormatPr defaultColWidth="8.88671875" defaultRowHeight="13.5"/>
  <cols>
    <col min="1" max="1" width="29.77734375" style="601" bestFit="1" customWidth="1"/>
    <col min="2" max="2" width="13.10546875" style="601" customWidth="1"/>
    <col min="3" max="3" width="15.5546875" style="601" customWidth="1"/>
    <col min="4" max="4" width="21.77734375" style="601" bestFit="1" customWidth="1"/>
    <col min="5" max="5" width="18.3359375" style="266" customWidth="1"/>
    <col min="6" max="6" width="19.88671875" style="266" bestFit="1" customWidth="1"/>
    <col min="7" max="9" width="21.77734375" style="266" bestFit="1" customWidth="1"/>
    <col min="10" max="10" width="43.6640625" style="354" customWidth="1"/>
    <col min="11" max="11" width="15.10546875" style="555" customWidth="1"/>
    <col min="12" max="16384" width="8.88671875" style="601" customWidth="1"/>
  </cols>
  <sheetData>
    <row r="1" spans="1:10" ht="60" customHeight="1">
      <c r="A1" s="1051" t="s">
        <v>908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909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19.5" customHeight="1">
      <c r="A3" s="265" t="s">
        <v>910</v>
      </c>
      <c r="J3" s="267" t="s">
        <v>911</v>
      </c>
    </row>
    <row r="4" spans="1:11" s="794" customFormat="1" ht="28.5" customHeight="1">
      <c r="A4" s="268"/>
      <c r="B4" s="269" t="s">
        <v>395</v>
      </c>
      <c r="C4" s="269"/>
      <c r="D4" s="1052" t="s">
        <v>912</v>
      </c>
      <c r="E4" s="1054" t="s">
        <v>913</v>
      </c>
      <c r="F4" s="1056" t="s">
        <v>396</v>
      </c>
      <c r="G4" s="1058" t="s">
        <v>914</v>
      </c>
      <c r="H4" s="1060" t="s">
        <v>915</v>
      </c>
      <c r="I4" s="270" t="s">
        <v>398</v>
      </c>
      <c r="J4" s="1062" t="s">
        <v>399</v>
      </c>
      <c r="K4" s="271"/>
    </row>
    <row r="5" spans="1:10" ht="28.5" customHeight="1">
      <c r="A5" s="272" t="s">
        <v>400</v>
      </c>
      <c r="B5" s="273" t="s">
        <v>401</v>
      </c>
      <c r="C5" s="274" t="s">
        <v>3</v>
      </c>
      <c r="D5" s="1053"/>
      <c r="E5" s="1055"/>
      <c r="F5" s="1057"/>
      <c r="G5" s="1059"/>
      <c r="H5" s="1061"/>
      <c r="I5" s="275" t="s">
        <v>402</v>
      </c>
      <c r="J5" s="1063"/>
    </row>
    <row r="6" spans="1:10" ht="32.25" customHeight="1">
      <c r="A6" s="276" t="s">
        <v>403</v>
      </c>
      <c r="B6" s="277"/>
      <c r="C6" s="277"/>
      <c r="D6" s="278">
        <f>D7+D12+D25+D33+D36+D44+D50+D53</f>
        <v>203293000000</v>
      </c>
      <c r="E6" s="278">
        <f>E7+E12+E25+E33+E36+E44+E50+E53</f>
        <v>27360702522</v>
      </c>
      <c r="F6" s="278">
        <f>F7+F12+F25+F33+F36+F44+F50+F53</f>
        <v>100416150000</v>
      </c>
      <c r="G6" s="279">
        <f>G7+G12+G25+G33+G36+G44+G50+G53</f>
        <v>127776852522</v>
      </c>
      <c r="H6" s="280">
        <f>H7+H12+H25+H33+H36+H44+H50+H53</f>
        <v>127776852522</v>
      </c>
      <c r="I6" s="281">
        <f>H6-D6</f>
        <v>-75516147478</v>
      </c>
      <c r="J6" s="282" t="s">
        <v>20</v>
      </c>
    </row>
    <row r="7" spans="1:11" s="291" customFormat="1" ht="32.25" customHeight="1">
      <c r="A7" s="283" t="s">
        <v>404</v>
      </c>
      <c r="B7" s="284"/>
      <c r="C7" s="284"/>
      <c r="D7" s="285">
        <f>D8</f>
        <v>0</v>
      </c>
      <c r="E7" s="285">
        <f>E8</f>
        <v>0</v>
      </c>
      <c r="F7" s="285">
        <f>F8</f>
        <v>0</v>
      </c>
      <c r="G7" s="286">
        <f>G8</f>
        <v>0</v>
      </c>
      <c r="H7" s="287">
        <f>H8</f>
        <v>0</v>
      </c>
      <c r="I7" s="288">
        <f aca="true" t="shared" si="0" ref="I7:I51">H7-D7</f>
        <v>0</v>
      </c>
      <c r="J7" s="289"/>
      <c r="K7" s="290"/>
    </row>
    <row r="8" spans="1:10" ht="32.25" customHeight="1">
      <c r="A8" s="292"/>
      <c r="B8" s="277" t="s">
        <v>405</v>
      </c>
      <c r="C8" s="293"/>
      <c r="D8" s="294">
        <f>SUM(D9:D11)</f>
        <v>0</v>
      </c>
      <c r="E8" s="294">
        <f>SUM(E9:E11)</f>
        <v>0</v>
      </c>
      <c r="F8" s="294">
        <f>SUM(F9:F11)</f>
        <v>0</v>
      </c>
      <c r="G8" s="295">
        <f>SUM(G9:G11)</f>
        <v>0</v>
      </c>
      <c r="H8" s="296">
        <f>SUM(H9:H11)</f>
        <v>0</v>
      </c>
      <c r="I8" s="297">
        <f t="shared" si="0"/>
        <v>0</v>
      </c>
      <c r="J8" s="298" t="s">
        <v>20</v>
      </c>
    </row>
    <row r="9" spans="1:10" ht="32.25" customHeight="1">
      <c r="A9" s="292"/>
      <c r="B9" s="277"/>
      <c r="C9" s="293" t="s">
        <v>9</v>
      </c>
      <c r="D9" s="736">
        <v>0</v>
      </c>
      <c r="E9" s="739">
        <v>0</v>
      </c>
      <c r="F9" s="736">
        <v>0</v>
      </c>
      <c r="G9" s="301">
        <f>E9+F9</f>
        <v>0</v>
      </c>
      <c r="H9" s="302">
        <f>+G9</f>
        <v>0</v>
      </c>
      <c r="I9" s="303">
        <f t="shared" si="0"/>
        <v>0</v>
      </c>
      <c r="J9" s="304" t="s">
        <v>20</v>
      </c>
    </row>
    <row r="10" spans="1:10" ht="32.25" customHeight="1">
      <c r="A10" s="292"/>
      <c r="B10" s="277"/>
      <c r="C10" s="305" t="s">
        <v>406</v>
      </c>
      <c r="D10" s="736">
        <v>0</v>
      </c>
      <c r="E10" s="739">
        <v>0</v>
      </c>
      <c r="F10" s="736">
        <v>0</v>
      </c>
      <c r="G10" s="301">
        <f aca="true" t="shared" si="1" ref="G10:G17">E10+F10</f>
        <v>0</v>
      </c>
      <c r="H10" s="302">
        <f>+G10</f>
        <v>0</v>
      </c>
      <c r="I10" s="303">
        <f t="shared" si="0"/>
        <v>0</v>
      </c>
      <c r="J10" s="306"/>
    </row>
    <row r="11" spans="1:10" ht="32.25" customHeight="1">
      <c r="A11" s="292"/>
      <c r="B11" s="277"/>
      <c r="C11" s="277" t="s">
        <v>407</v>
      </c>
      <c r="D11" s="307">
        <v>0</v>
      </c>
      <c r="E11" s="490">
        <v>0</v>
      </c>
      <c r="F11" s="736">
        <v>0</v>
      </c>
      <c r="G11" s="301">
        <f t="shared" si="1"/>
        <v>0</v>
      </c>
      <c r="H11" s="302">
        <f>+G11</f>
        <v>0</v>
      </c>
      <c r="I11" s="308">
        <f t="shared" si="0"/>
        <v>0</v>
      </c>
      <c r="J11" s="602"/>
    </row>
    <row r="12" spans="1:11" s="291" customFormat="1" ht="32.25" customHeight="1">
      <c r="A12" s="283" t="s">
        <v>408</v>
      </c>
      <c r="B12" s="284"/>
      <c r="C12" s="284"/>
      <c r="D12" s="309">
        <f>D13+D19+D23</f>
        <v>30000000000</v>
      </c>
      <c r="E12" s="309">
        <f>E13+E19+E23</f>
        <v>4583850000</v>
      </c>
      <c r="F12" s="309">
        <f>F13+F19+F23</f>
        <v>10416150000</v>
      </c>
      <c r="G12" s="286">
        <f t="shared" si="1"/>
        <v>15000000000</v>
      </c>
      <c r="H12" s="311">
        <f>H13+H19+H23</f>
        <v>15000000000</v>
      </c>
      <c r="I12" s="312">
        <f>H12-D12</f>
        <v>-15000000000</v>
      </c>
      <c r="J12" s="289"/>
      <c r="K12" s="290"/>
    </row>
    <row r="13" spans="1:10" ht="32.25" customHeight="1">
      <c r="A13" s="276"/>
      <c r="B13" s="277" t="s">
        <v>409</v>
      </c>
      <c r="C13" s="293"/>
      <c r="D13" s="313">
        <f>SUM(D14:D18)</f>
        <v>30000000000</v>
      </c>
      <c r="E13" s="313">
        <f>SUM(E14:E18)</f>
        <v>4583850000</v>
      </c>
      <c r="F13" s="313">
        <f>SUM(F14:F18)</f>
        <v>10416150000</v>
      </c>
      <c r="G13" s="301">
        <f>SUM(G14:G18)</f>
        <v>15000000000</v>
      </c>
      <c r="H13" s="296">
        <f>SUM(H14:H18)</f>
        <v>15000000000</v>
      </c>
      <c r="I13" s="315">
        <f t="shared" si="0"/>
        <v>-15000000000</v>
      </c>
      <c r="J13" s="316"/>
    </row>
    <row r="14" spans="1:10" ht="32.25" customHeight="1">
      <c r="A14" s="292"/>
      <c r="B14" s="277"/>
      <c r="C14" s="293" t="s">
        <v>410</v>
      </c>
      <c r="D14" s="736">
        <v>0</v>
      </c>
      <c r="E14" s="739">
        <v>0</v>
      </c>
      <c r="F14" s="736">
        <v>0</v>
      </c>
      <c r="G14" s="301">
        <f t="shared" si="1"/>
        <v>0</v>
      </c>
      <c r="H14" s="302">
        <f>+IF(D14&gt;G14,D14,G14)</f>
        <v>0</v>
      </c>
      <c r="I14" s="317">
        <f t="shared" si="0"/>
        <v>0</v>
      </c>
      <c r="J14" s="733"/>
    </row>
    <row r="15" spans="1:10" ht="32.25" customHeight="1">
      <c r="A15" s="292"/>
      <c r="B15" s="277"/>
      <c r="C15" s="293" t="s">
        <v>411</v>
      </c>
      <c r="D15" s="736">
        <v>0</v>
      </c>
      <c r="E15" s="739">
        <v>0</v>
      </c>
      <c r="F15" s="736">
        <v>0</v>
      </c>
      <c r="G15" s="301">
        <f t="shared" si="1"/>
        <v>0</v>
      </c>
      <c r="H15" s="302">
        <f>+IF(D15&gt;G15,D15,G15)</f>
        <v>0</v>
      </c>
      <c r="I15" s="317">
        <f t="shared" si="0"/>
        <v>0</v>
      </c>
      <c r="J15" s="318"/>
    </row>
    <row r="16" spans="1:10" ht="32.25" customHeight="1">
      <c r="A16" s="292"/>
      <c r="B16" s="277"/>
      <c r="C16" s="293" t="s">
        <v>916</v>
      </c>
      <c r="D16" s="736">
        <v>30000000000</v>
      </c>
      <c r="E16" s="739">
        <f>15000000+4568850000</f>
        <v>4583850000</v>
      </c>
      <c r="F16" s="736">
        <v>10416150000</v>
      </c>
      <c r="G16" s="301">
        <f t="shared" si="1"/>
        <v>15000000000</v>
      </c>
      <c r="H16" s="302">
        <f>+G16</f>
        <v>15000000000</v>
      </c>
      <c r="I16" s="317">
        <f t="shared" si="0"/>
        <v>-15000000000</v>
      </c>
      <c r="J16" s="318"/>
    </row>
    <row r="17" spans="1:10" ht="32.25" customHeight="1">
      <c r="A17" s="292"/>
      <c r="B17" s="277"/>
      <c r="C17" s="319" t="s">
        <v>412</v>
      </c>
      <c r="D17" s="320">
        <v>0</v>
      </c>
      <c r="E17" s="739">
        <v>0</v>
      </c>
      <c r="F17" s="736">
        <v>0</v>
      </c>
      <c r="G17" s="301">
        <f t="shared" si="1"/>
        <v>0</v>
      </c>
      <c r="H17" s="302">
        <f>+IF(D17&gt;G17,D17,G17)</f>
        <v>0</v>
      </c>
      <c r="I17" s="317">
        <f t="shared" si="0"/>
        <v>0</v>
      </c>
      <c r="J17" s="321"/>
    </row>
    <row r="18" spans="1:10" ht="32.25" customHeight="1">
      <c r="A18" s="292"/>
      <c r="B18" s="277"/>
      <c r="C18" s="293" t="s">
        <v>917</v>
      </c>
      <c r="D18" s="736">
        <v>0</v>
      </c>
      <c r="E18" s="785">
        <v>0</v>
      </c>
      <c r="F18" s="736">
        <v>0</v>
      </c>
      <c r="G18" s="301">
        <f>F18+E18</f>
        <v>0</v>
      </c>
      <c r="H18" s="302">
        <f>+IF(D18&gt;G18,D18,G18)</f>
        <v>0</v>
      </c>
      <c r="I18" s="317">
        <f t="shared" si="0"/>
        <v>0</v>
      </c>
      <c r="J18" s="323"/>
    </row>
    <row r="19" spans="1:10" ht="32.25" customHeight="1">
      <c r="A19" s="292"/>
      <c r="B19" s="324" t="s">
        <v>414</v>
      </c>
      <c r="C19" s="277"/>
      <c r="D19" s="739">
        <f>SUM(D20:D22)</f>
        <v>0</v>
      </c>
      <c r="E19" s="739">
        <f>SUM(E20:E22)</f>
        <v>0</v>
      </c>
      <c r="F19" s="739">
        <f>SUM(F20:F22)</f>
        <v>0</v>
      </c>
      <c r="G19" s="301">
        <f>SUM(G20:G22)</f>
        <v>0</v>
      </c>
      <c r="H19" s="325">
        <f>SUM(H20:H22)</f>
        <v>0</v>
      </c>
      <c r="I19" s="303">
        <f t="shared" si="0"/>
        <v>0</v>
      </c>
      <c r="J19" s="318"/>
    </row>
    <row r="20" spans="1:10" ht="40.5" customHeight="1">
      <c r="A20" s="292"/>
      <c r="B20" s="277"/>
      <c r="C20" s="324" t="s">
        <v>415</v>
      </c>
      <c r="D20" s="736">
        <v>0</v>
      </c>
      <c r="E20" s="736">
        <v>0</v>
      </c>
      <c r="F20" s="736">
        <v>0</v>
      </c>
      <c r="G20" s="301">
        <f aca="true" t="shared" si="2" ref="G20:G25">E20+F20</f>
        <v>0</v>
      </c>
      <c r="H20" s="302">
        <f>+G20</f>
        <v>0</v>
      </c>
      <c r="I20" s="303">
        <f t="shared" si="0"/>
        <v>0</v>
      </c>
      <c r="J20" s="733"/>
    </row>
    <row r="21" spans="1:10" ht="32.25" customHeight="1">
      <c r="A21" s="292"/>
      <c r="B21" s="277"/>
      <c r="C21" s="324" t="s">
        <v>416</v>
      </c>
      <c r="D21" s="736">
        <v>0</v>
      </c>
      <c r="E21" s="736">
        <v>0</v>
      </c>
      <c r="F21" s="736">
        <v>0</v>
      </c>
      <c r="G21" s="301">
        <f t="shared" si="2"/>
        <v>0</v>
      </c>
      <c r="H21" s="302">
        <f>+IF(D21&gt;G21,D21,G21)</f>
        <v>0</v>
      </c>
      <c r="I21" s="317">
        <f t="shared" si="0"/>
        <v>0</v>
      </c>
      <c r="J21" s="733" t="s">
        <v>20</v>
      </c>
    </row>
    <row r="22" spans="1:10" ht="32.25" customHeight="1">
      <c r="A22" s="292"/>
      <c r="B22" s="277"/>
      <c r="C22" s="324" t="s">
        <v>417</v>
      </c>
      <c r="D22" s="736">
        <v>0</v>
      </c>
      <c r="E22" s="736">
        <v>0</v>
      </c>
      <c r="F22" s="736">
        <v>0</v>
      </c>
      <c r="G22" s="301">
        <f t="shared" si="2"/>
        <v>0</v>
      </c>
      <c r="H22" s="302">
        <f>+IF(D22&gt;G22,D22,G22)</f>
        <v>0</v>
      </c>
      <c r="I22" s="317">
        <f t="shared" si="0"/>
        <v>0</v>
      </c>
      <c r="J22" s="733" t="s">
        <v>20</v>
      </c>
    </row>
    <row r="23" spans="1:10" ht="32.25" customHeight="1">
      <c r="A23" s="292"/>
      <c r="B23" s="324" t="s">
        <v>418</v>
      </c>
      <c r="C23" s="305"/>
      <c r="D23" s="736">
        <f>SUM(D24)</f>
        <v>0</v>
      </c>
      <c r="E23" s="736">
        <f>SUM(E24)</f>
        <v>0</v>
      </c>
      <c r="F23" s="736">
        <f>SUM(F24)</f>
        <v>0</v>
      </c>
      <c r="G23" s="301">
        <f t="shared" si="2"/>
        <v>0</v>
      </c>
      <c r="H23" s="325">
        <f>H24</f>
        <v>0</v>
      </c>
      <c r="I23" s="317">
        <f t="shared" si="0"/>
        <v>0</v>
      </c>
      <c r="J23" s="318"/>
    </row>
    <row r="24" spans="1:10" ht="32.25" customHeight="1">
      <c r="A24" s="292"/>
      <c r="B24" s="277"/>
      <c r="C24" s="277" t="s">
        <v>419</v>
      </c>
      <c r="D24" s="736">
        <v>0</v>
      </c>
      <c r="E24" s="736">
        <v>0</v>
      </c>
      <c r="F24" s="736">
        <v>0</v>
      </c>
      <c r="G24" s="301">
        <f t="shared" si="2"/>
        <v>0</v>
      </c>
      <c r="H24" s="302">
        <f>+IF(D24&gt;G24,D24,G24)</f>
        <v>0</v>
      </c>
      <c r="I24" s="327">
        <f t="shared" si="0"/>
        <v>0</v>
      </c>
      <c r="J24" s="738" t="s">
        <v>20</v>
      </c>
    </row>
    <row r="25" spans="1:11" s="291" customFormat="1" ht="32.25" customHeight="1">
      <c r="A25" s="283" t="s">
        <v>420</v>
      </c>
      <c r="B25" s="284"/>
      <c r="C25" s="284"/>
      <c r="D25" s="285">
        <f>+D26+D30</f>
        <v>0</v>
      </c>
      <c r="E25" s="285">
        <f>+E26+E30</f>
        <v>0</v>
      </c>
      <c r="F25" s="285">
        <f>+F26+F30</f>
        <v>0</v>
      </c>
      <c r="G25" s="286">
        <f t="shared" si="2"/>
        <v>0</v>
      </c>
      <c r="H25" s="311">
        <f>H26+H30</f>
        <v>0</v>
      </c>
      <c r="I25" s="312">
        <f t="shared" si="0"/>
        <v>0</v>
      </c>
      <c r="J25" s="289"/>
      <c r="K25" s="290"/>
    </row>
    <row r="26" spans="1:10" ht="32.25" customHeight="1">
      <c r="A26" s="292"/>
      <c r="B26" s="277" t="s">
        <v>421</v>
      </c>
      <c r="C26" s="293"/>
      <c r="D26" s="313">
        <f>SUM(D27:D29)</f>
        <v>0</v>
      </c>
      <c r="E26" s="313">
        <f>SUM(E27:E29)</f>
        <v>0</v>
      </c>
      <c r="F26" s="313">
        <f>SUM(F27:F29)</f>
        <v>0</v>
      </c>
      <c r="G26" s="314">
        <f>SUM(G27:G29)</f>
        <v>0</v>
      </c>
      <c r="H26" s="296">
        <f>SUM(H27:H29)</f>
        <v>0</v>
      </c>
      <c r="I26" s="297">
        <f t="shared" si="0"/>
        <v>0</v>
      </c>
      <c r="J26" s="316"/>
    </row>
    <row r="27" spans="1:10" ht="32.25" customHeight="1">
      <c r="A27" s="292"/>
      <c r="B27" s="277"/>
      <c r="C27" s="305" t="s">
        <v>422</v>
      </c>
      <c r="D27" s="736">
        <v>0</v>
      </c>
      <c r="E27" s="739">
        <v>0</v>
      </c>
      <c r="F27" s="736">
        <v>0</v>
      </c>
      <c r="G27" s="301">
        <f>+E27+F27</f>
        <v>0</v>
      </c>
      <c r="H27" s="302">
        <f>+G27</f>
        <v>0</v>
      </c>
      <c r="I27" s="303">
        <f t="shared" si="0"/>
        <v>0</v>
      </c>
      <c r="J27" s="318"/>
    </row>
    <row r="28" spans="1:10" ht="32.25" customHeight="1">
      <c r="A28" s="292"/>
      <c r="B28" s="277"/>
      <c r="C28" s="305" t="s">
        <v>918</v>
      </c>
      <c r="D28" s="736">
        <v>0</v>
      </c>
      <c r="E28" s="739">
        <v>0</v>
      </c>
      <c r="F28" s="736">
        <v>0</v>
      </c>
      <c r="G28" s="301">
        <f aca="true" t="shared" si="3" ref="G28:G35">E28+F28</f>
        <v>0</v>
      </c>
      <c r="H28" s="302">
        <f>+IF(D28&gt;G28,D28,G28)</f>
        <v>0</v>
      </c>
      <c r="I28" s="303">
        <f t="shared" si="0"/>
        <v>0</v>
      </c>
      <c r="J28" s="318"/>
    </row>
    <row r="29" spans="1:10" ht="32.25" customHeight="1">
      <c r="A29" s="292"/>
      <c r="B29" s="277"/>
      <c r="C29" s="305" t="s">
        <v>919</v>
      </c>
      <c r="D29" s="736">
        <v>0</v>
      </c>
      <c r="E29" s="739">
        <v>0</v>
      </c>
      <c r="F29" s="736">
        <v>0</v>
      </c>
      <c r="G29" s="301">
        <f t="shared" si="3"/>
        <v>0</v>
      </c>
      <c r="H29" s="302">
        <f>+IF(D29&gt;G29,D29,G29)</f>
        <v>0</v>
      </c>
      <c r="I29" s="303">
        <f t="shared" si="0"/>
        <v>0</v>
      </c>
      <c r="J29" s="318"/>
    </row>
    <row r="30" spans="1:10" ht="32.25" customHeight="1">
      <c r="A30" s="292"/>
      <c r="B30" s="329" t="s">
        <v>426</v>
      </c>
      <c r="C30" s="324"/>
      <c r="D30" s="736">
        <f>+D31+D32</f>
        <v>0</v>
      </c>
      <c r="E30" s="736">
        <f>+E31+E32</f>
        <v>0</v>
      </c>
      <c r="F30" s="736">
        <f>+F31+F32</f>
        <v>0</v>
      </c>
      <c r="G30" s="301">
        <f t="shared" si="3"/>
        <v>0</v>
      </c>
      <c r="H30" s="325">
        <f>SUM(H31:H32)</f>
        <v>0</v>
      </c>
      <c r="I30" s="303">
        <f t="shared" si="0"/>
        <v>0</v>
      </c>
      <c r="J30" s="738"/>
    </row>
    <row r="31" spans="1:10" ht="32.25" customHeight="1">
      <c r="A31" s="292"/>
      <c r="B31" s="330"/>
      <c r="C31" s="331" t="s">
        <v>427</v>
      </c>
      <c r="D31" s="320">
        <v>0</v>
      </c>
      <c r="E31" s="739"/>
      <c r="F31" s="736">
        <v>0</v>
      </c>
      <c r="G31" s="301">
        <f t="shared" si="3"/>
        <v>0</v>
      </c>
      <c r="H31" s="302">
        <f>+G31</f>
        <v>0</v>
      </c>
      <c r="I31" s="303">
        <f t="shared" si="0"/>
        <v>0</v>
      </c>
      <c r="J31" s="738"/>
    </row>
    <row r="32" spans="1:10" ht="32.25" customHeight="1">
      <c r="A32" s="292"/>
      <c r="B32" s="277"/>
      <c r="C32" s="329" t="s">
        <v>428</v>
      </c>
      <c r="D32" s="332">
        <v>0</v>
      </c>
      <c r="E32" s="333">
        <v>0</v>
      </c>
      <c r="F32" s="334">
        <v>0</v>
      </c>
      <c r="G32" s="301">
        <f t="shared" si="3"/>
        <v>0</v>
      </c>
      <c r="H32" s="302">
        <f>+IF(D32&gt;G32,D32,G32)</f>
        <v>0</v>
      </c>
      <c r="I32" s="335">
        <f t="shared" si="0"/>
        <v>0</v>
      </c>
      <c r="J32" s="336"/>
    </row>
    <row r="33" spans="1:11" s="291" customFormat="1" ht="32.25" customHeight="1">
      <c r="A33" s="283" t="s">
        <v>429</v>
      </c>
      <c r="B33" s="284"/>
      <c r="C33" s="284"/>
      <c r="D33" s="285">
        <v>0</v>
      </c>
      <c r="E33" s="309">
        <f>SUM(E34)</f>
        <v>26736412</v>
      </c>
      <c r="F33" s="309">
        <f>SUM(F34)</f>
        <v>0</v>
      </c>
      <c r="G33" s="286">
        <f t="shared" si="3"/>
        <v>26736412</v>
      </c>
      <c r="H33" s="311">
        <f>H34</f>
        <v>26736412</v>
      </c>
      <c r="I33" s="312">
        <f t="shared" si="0"/>
        <v>26736412</v>
      </c>
      <c r="J33" s="289"/>
      <c r="K33" s="290"/>
    </row>
    <row r="34" spans="1:10" ht="32.25" customHeight="1">
      <c r="A34" s="292"/>
      <c r="B34" s="277" t="s">
        <v>430</v>
      </c>
      <c r="C34" s="293"/>
      <c r="D34" s="294">
        <f>+D35</f>
        <v>0</v>
      </c>
      <c r="E34" s="294">
        <f>+E35</f>
        <v>26736412</v>
      </c>
      <c r="F34" s="294">
        <f>+F35</f>
        <v>0</v>
      </c>
      <c r="G34" s="301">
        <f t="shared" si="3"/>
        <v>26736412</v>
      </c>
      <c r="H34" s="296">
        <f>H35</f>
        <v>26736412</v>
      </c>
      <c r="I34" s="297">
        <f t="shared" si="0"/>
        <v>26736412</v>
      </c>
      <c r="J34" s="316"/>
    </row>
    <row r="35" spans="1:10" ht="32.25" customHeight="1">
      <c r="A35" s="292"/>
      <c r="B35" s="277"/>
      <c r="C35" s="305" t="s">
        <v>431</v>
      </c>
      <c r="D35" s="736">
        <v>0</v>
      </c>
      <c r="E35" s="739">
        <v>26736412</v>
      </c>
      <c r="F35" s="736">
        <v>0</v>
      </c>
      <c r="G35" s="301">
        <f t="shared" si="3"/>
        <v>26736412</v>
      </c>
      <c r="H35" s="302">
        <f>+G35</f>
        <v>26736412</v>
      </c>
      <c r="I35" s="303">
        <f t="shared" si="0"/>
        <v>26736412</v>
      </c>
      <c r="J35" s="318"/>
    </row>
    <row r="36" spans="1:11" s="291" customFormat="1" ht="32.25" customHeight="1">
      <c r="A36" s="283" t="s">
        <v>432</v>
      </c>
      <c r="B36" s="284"/>
      <c r="C36" s="284"/>
      <c r="D36" s="309">
        <f>D37+D39+D42</f>
        <v>0</v>
      </c>
      <c r="E36" s="309">
        <f>E37+E39+E42</f>
        <v>0</v>
      </c>
      <c r="F36" s="309">
        <f>F37+F39+F42</f>
        <v>0</v>
      </c>
      <c r="G36" s="310">
        <f>G37+G39+G42</f>
        <v>0</v>
      </c>
      <c r="H36" s="311">
        <f>H37+H39+H42</f>
        <v>0</v>
      </c>
      <c r="I36" s="337">
        <f t="shared" si="0"/>
        <v>0</v>
      </c>
      <c r="J36" s="289"/>
      <c r="K36" s="290"/>
    </row>
    <row r="37" spans="1:10" ht="32.25" customHeight="1">
      <c r="A37" s="292"/>
      <c r="B37" s="277" t="s">
        <v>433</v>
      </c>
      <c r="C37" s="293"/>
      <c r="D37" s="294">
        <f>+D38</f>
        <v>0</v>
      </c>
      <c r="E37" s="294">
        <f>+E38</f>
        <v>0</v>
      </c>
      <c r="F37" s="294">
        <f>+F38</f>
        <v>0</v>
      </c>
      <c r="G37" s="301">
        <f aca="true" t="shared" si="4" ref="G37:G45">E37+F37</f>
        <v>0</v>
      </c>
      <c r="H37" s="338">
        <f>H38</f>
        <v>0</v>
      </c>
      <c r="I37" s="315">
        <f t="shared" si="0"/>
        <v>0</v>
      </c>
      <c r="J37" s="316"/>
    </row>
    <row r="38" spans="1:10" ht="32.25" customHeight="1">
      <c r="A38" s="292"/>
      <c r="B38" s="293"/>
      <c r="C38" s="339" t="s">
        <v>434</v>
      </c>
      <c r="D38" s="340">
        <v>0</v>
      </c>
      <c r="E38" s="340">
        <v>0</v>
      </c>
      <c r="F38" s="340">
        <v>0</v>
      </c>
      <c r="G38" s="301">
        <f t="shared" si="4"/>
        <v>0</v>
      </c>
      <c r="H38" s="302">
        <f>+IF(D38&gt;G38,D38,G38)</f>
        <v>0</v>
      </c>
      <c r="I38" s="317">
        <f t="shared" si="0"/>
        <v>0</v>
      </c>
      <c r="J38" s="318"/>
    </row>
    <row r="39" spans="1:10" ht="32.25" customHeight="1">
      <c r="A39" s="292"/>
      <c r="B39" s="330" t="s">
        <v>435</v>
      </c>
      <c r="C39" s="293"/>
      <c r="D39" s="736">
        <f>+D40+D41</f>
        <v>0</v>
      </c>
      <c r="E39" s="736">
        <f>+E40+E41</f>
        <v>0</v>
      </c>
      <c r="F39" s="736">
        <f>+F40+F41</f>
        <v>0</v>
      </c>
      <c r="G39" s="301">
        <f t="shared" si="4"/>
        <v>0</v>
      </c>
      <c r="H39" s="325">
        <f>SUM(H40:H41)</f>
        <v>0</v>
      </c>
      <c r="I39" s="317">
        <f t="shared" si="0"/>
        <v>0</v>
      </c>
      <c r="J39" s="318"/>
    </row>
    <row r="40" spans="1:10" ht="32.25" customHeight="1">
      <c r="A40" s="292"/>
      <c r="B40" s="330"/>
      <c r="C40" s="293" t="s">
        <v>436</v>
      </c>
      <c r="D40" s="320">
        <v>0</v>
      </c>
      <c r="E40" s="320">
        <v>0</v>
      </c>
      <c r="F40" s="320">
        <v>0</v>
      </c>
      <c r="G40" s="301">
        <f t="shared" si="4"/>
        <v>0</v>
      </c>
      <c r="H40" s="302">
        <f>+IF(D40&gt;G40,D40,G40)</f>
        <v>0</v>
      </c>
      <c r="I40" s="317">
        <f t="shared" si="0"/>
        <v>0</v>
      </c>
      <c r="J40" s="318"/>
    </row>
    <row r="41" spans="1:10" ht="32.25" customHeight="1">
      <c r="A41" s="292"/>
      <c r="B41" s="293"/>
      <c r="C41" s="293" t="s">
        <v>437</v>
      </c>
      <c r="D41" s="320">
        <v>0</v>
      </c>
      <c r="E41" s="320">
        <v>0</v>
      </c>
      <c r="F41" s="320">
        <v>0</v>
      </c>
      <c r="G41" s="301">
        <f t="shared" si="4"/>
        <v>0</v>
      </c>
      <c r="H41" s="302">
        <f>+IF(D41&gt;G41,D41,G41)</f>
        <v>0</v>
      </c>
      <c r="I41" s="317">
        <f t="shared" si="0"/>
        <v>0</v>
      </c>
      <c r="J41" s="318"/>
    </row>
    <row r="42" spans="1:10" ht="32.25" customHeight="1">
      <c r="A42" s="292"/>
      <c r="B42" s="324" t="s">
        <v>438</v>
      </c>
      <c r="C42" s="293"/>
      <c r="D42" s="736">
        <f>+D43</f>
        <v>0</v>
      </c>
      <c r="E42" s="736">
        <f>+E43</f>
        <v>0</v>
      </c>
      <c r="F42" s="736">
        <f>+F43</f>
        <v>0</v>
      </c>
      <c r="G42" s="301">
        <f t="shared" si="4"/>
        <v>0</v>
      </c>
      <c r="H42" s="325">
        <f>H43</f>
        <v>0</v>
      </c>
      <c r="I42" s="317">
        <f t="shared" si="0"/>
        <v>0</v>
      </c>
      <c r="J42" s="318"/>
    </row>
    <row r="43" spans="1:10" ht="32.25" customHeight="1">
      <c r="A43" s="292"/>
      <c r="B43" s="277"/>
      <c r="C43" s="277" t="s">
        <v>439</v>
      </c>
      <c r="D43" s="320">
        <v>0</v>
      </c>
      <c r="E43" s="320">
        <v>0</v>
      </c>
      <c r="F43" s="320">
        <v>0</v>
      </c>
      <c r="G43" s="301">
        <f t="shared" si="4"/>
        <v>0</v>
      </c>
      <c r="H43" s="302">
        <f>+IF(D43&gt;G43,D43,G43)</f>
        <v>0</v>
      </c>
      <c r="I43" s="327">
        <f t="shared" si="0"/>
        <v>0</v>
      </c>
      <c r="J43" s="738"/>
    </row>
    <row r="44" spans="1:11" s="291" customFormat="1" ht="32.25" customHeight="1">
      <c r="A44" s="341" t="s">
        <v>440</v>
      </c>
      <c r="B44" s="284"/>
      <c r="C44" s="284"/>
      <c r="D44" s="285">
        <f>+D45</f>
        <v>0</v>
      </c>
      <c r="E44" s="285">
        <f>+E45</f>
        <v>0</v>
      </c>
      <c r="F44" s="285">
        <f>+F45</f>
        <v>0</v>
      </c>
      <c r="G44" s="286">
        <f t="shared" si="4"/>
        <v>0</v>
      </c>
      <c r="H44" s="311">
        <f>H45</f>
        <v>0</v>
      </c>
      <c r="I44" s="337">
        <f t="shared" si="0"/>
        <v>0</v>
      </c>
      <c r="J44" s="289"/>
      <c r="K44" s="290"/>
    </row>
    <row r="45" spans="1:10" ht="32.25" customHeight="1">
      <c r="A45" s="292"/>
      <c r="B45" s="342" t="s">
        <v>441</v>
      </c>
      <c r="C45" s="293"/>
      <c r="D45" s="294">
        <f>SUM(D46:D49)</f>
        <v>0</v>
      </c>
      <c r="E45" s="294">
        <f>SUM(E46:E49)</f>
        <v>0</v>
      </c>
      <c r="F45" s="294">
        <f>SUM(F46:F49)</f>
        <v>0</v>
      </c>
      <c r="G45" s="301">
        <f t="shared" si="4"/>
        <v>0</v>
      </c>
      <c r="H45" s="296">
        <f>SUM(H46:H49)</f>
        <v>0</v>
      </c>
      <c r="I45" s="315">
        <f t="shared" si="0"/>
        <v>0</v>
      </c>
      <c r="J45" s="316"/>
    </row>
    <row r="46" spans="1:10" ht="32.25" customHeight="1">
      <c r="A46" s="292"/>
      <c r="B46" s="277"/>
      <c r="C46" s="293" t="s">
        <v>920</v>
      </c>
      <c r="D46" s="320">
        <v>0</v>
      </c>
      <c r="E46" s="320">
        <v>0</v>
      </c>
      <c r="F46" s="320">
        <v>0</v>
      </c>
      <c r="G46" s="301">
        <f>F46+E46</f>
        <v>0</v>
      </c>
      <c r="H46" s="302">
        <f>+IF(D46&gt;G46,D46,G46)</f>
        <v>0</v>
      </c>
      <c r="I46" s="317">
        <f t="shared" si="0"/>
        <v>0</v>
      </c>
      <c r="J46" s="318"/>
    </row>
    <row r="47" spans="1:10" ht="32.25" customHeight="1">
      <c r="A47" s="292"/>
      <c r="B47" s="277"/>
      <c r="C47" s="305" t="s">
        <v>921</v>
      </c>
      <c r="D47" s="320">
        <v>0</v>
      </c>
      <c r="E47" s="320">
        <v>0</v>
      </c>
      <c r="F47" s="320">
        <v>0</v>
      </c>
      <c r="G47" s="301">
        <f>E47+F47</f>
        <v>0</v>
      </c>
      <c r="H47" s="302">
        <f>+IF(D47&gt;G47,D47,G47)</f>
        <v>0</v>
      </c>
      <c r="I47" s="317">
        <f t="shared" si="0"/>
        <v>0</v>
      </c>
      <c r="J47" s="318"/>
    </row>
    <row r="48" spans="1:10" ht="32.25" customHeight="1">
      <c r="A48" s="292"/>
      <c r="B48" s="277"/>
      <c r="C48" s="305" t="s">
        <v>922</v>
      </c>
      <c r="D48" s="320">
        <v>0</v>
      </c>
      <c r="E48" s="320">
        <v>0</v>
      </c>
      <c r="F48" s="320">
        <v>0</v>
      </c>
      <c r="G48" s="301">
        <f>E48+F48</f>
        <v>0</v>
      </c>
      <c r="H48" s="302">
        <f>+IF(D48&gt;G48,D48,G48)</f>
        <v>0</v>
      </c>
      <c r="I48" s="317">
        <f>H48-D48</f>
        <v>0</v>
      </c>
      <c r="J48" s="318"/>
    </row>
    <row r="49" spans="1:10" ht="32.25" customHeight="1">
      <c r="A49" s="292"/>
      <c r="B49" s="343"/>
      <c r="C49" s="277" t="s">
        <v>923</v>
      </c>
      <c r="D49" s="320">
        <v>0</v>
      </c>
      <c r="E49" s="320">
        <v>0</v>
      </c>
      <c r="F49" s="320">
        <v>0</v>
      </c>
      <c r="G49" s="301">
        <f>E49+F49</f>
        <v>0</v>
      </c>
      <c r="H49" s="302">
        <f>+IF(D49&gt;G49,D49,G49)</f>
        <v>0</v>
      </c>
      <c r="I49" s="317">
        <f>H49-D49</f>
        <v>0</v>
      </c>
      <c r="J49" s="318"/>
    </row>
    <row r="50" spans="1:11" s="291" customFormat="1" ht="32.25" customHeight="1">
      <c r="A50" s="283" t="s">
        <v>446</v>
      </c>
      <c r="B50" s="284" t="s">
        <v>924</v>
      </c>
      <c r="C50" s="284"/>
      <c r="D50" s="309">
        <f>+D51+D52</f>
        <v>170000000000</v>
      </c>
      <c r="E50" s="309">
        <f>+E51+E52</f>
        <v>20890000000</v>
      </c>
      <c r="F50" s="309">
        <f>+F51+F52</f>
        <v>90000000000</v>
      </c>
      <c r="G50" s="286">
        <f>E50+F50</f>
        <v>110890000000</v>
      </c>
      <c r="H50" s="311">
        <f>+H51+H52</f>
        <v>110890000000</v>
      </c>
      <c r="I50" s="337">
        <f>H50-D50</f>
        <v>-59110000000</v>
      </c>
      <c r="J50" s="289"/>
      <c r="K50" s="290"/>
    </row>
    <row r="51" spans="1:10" ht="32.25" customHeight="1">
      <c r="A51" s="292"/>
      <c r="B51" s="277"/>
      <c r="C51" s="277" t="s">
        <v>925</v>
      </c>
      <c r="D51" s="795">
        <v>0</v>
      </c>
      <c r="E51" s="344">
        <v>890000000</v>
      </c>
      <c r="F51" s="344">
        <v>0</v>
      </c>
      <c r="G51" s="301">
        <f>E51+F51</f>
        <v>890000000</v>
      </c>
      <c r="H51" s="302">
        <f>+IF(D51&gt;G51,D51,G51)</f>
        <v>890000000</v>
      </c>
      <c r="I51" s="345">
        <f t="shared" si="0"/>
        <v>890000000</v>
      </c>
      <c r="J51" s="346"/>
    </row>
    <row r="52" spans="1:10" ht="32.25" customHeight="1">
      <c r="A52" s="292"/>
      <c r="B52" s="277"/>
      <c r="C52" s="277" t="s">
        <v>926</v>
      </c>
      <c r="D52" s="278">
        <v>170000000000</v>
      </c>
      <c r="E52" s="490">
        <v>20000000000</v>
      </c>
      <c r="F52" s="490">
        <v>90000000000</v>
      </c>
      <c r="G52" s="301">
        <f>E52+F52</f>
        <v>110000000000</v>
      </c>
      <c r="H52" s="302">
        <f>+G52</f>
        <v>110000000000</v>
      </c>
      <c r="I52" s="345">
        <f>H52-D52</f>
        <v>-60000000000</v>
      </c>
      <c r="J52" s="346"/>
    </row>
    <row r="53" spans="1:11" s="291" customFormat="1" ht="32.25" customHeight="1">
      <c r="A53" s="283" t="s">
        <v>449</v>
      </c>
      <c r="B53" s="284"/>
      <c r="C53" s="284"/>
      <c r="D53" s="285">
        <v>3293000000</v>
      </c>
      <c r="E53" s="309">
        <v>1860116110</v>
      </c>
      <c r="F53" s="309"/>
      <c r="G53" s="286">
        <f>E53+F53</f>
        <v>1860116110</v>
      </c>
      <c r="H53" s="311">
        <f>+E53</f>
        <v>1860116110</v>
      </c>
      <c r="I53" s="337">
        <f>H53-D53</f>
        <v>-1432883890</v>
      </c>
      <c r="J53" s="347"/>
      <c r="K53" s="290"/>
    </row>
    <row r="54" spans="5:9" ht="20.25" customHeight="1">
      <c r="E54" s="353"/>
      <c r="F54" s="353"/>
      <c r="G54" s="353"/>
      <c r="H54" s="353"/>
      <c r="I54" s="353"/>
    </row>
    <row r="55" spans="5:9" ht="20.25" customHeight="1">
      <c r="E55" s="353"/>
      <c r="F55" s="353"/>
      <c r="G55" s="353"/>
      <c r="H55" s="353"/>
      <c r="I55" s="353"/>
    </row>
    <row r="56" spans="5:9" ht="20.25" customHeight="1">
      <c r="E56" s="353"/>
      <c r="F56" s="353"/>
      <c r="G56" s="353"/>
      <c r="H56" s="353"/>
      <c r="I56" s="353"/>
    </row>
    <row r="57" spans="5:9" ht="20.25" customHeight="1">
      <c r="E57" s="353"/>
      <c r="F57" s="353"/>
      <c r="G57" s="353"/>
      <c r="H57" s="353"/>
      <c r="I57" s="353"/>
    </row>
    <row r="58" spans="5:9" ht="20.25" customHeight="1">
      <c r="E58" s="353"/>
      <c r="F58" s="353"/>
      <c r="G58" s="353"/>
      <c r="H58" s="353"/>
      <c r="I58" s="353"/>
    </row>
    <row r="59" spans="5:9" ht="20.25" customHeight="1">
      <c r="E59" s="353"/>
      <c r="F59" s="353"/>
      <c r="G59" s="353"/>
      <c r="H59" s="353"/>
      <c r="I59" s="353"/>
    </row>
    <row r="60" spans="5:9" ht="20.25" customHeight="1">
      <c r="E60" s="353"/>
      <c r="F60" s="353"/>
      <c r="G60" s="353"/>
      <c r="H60" s="353"/>
      <c r="I60" s="353"/>
    </row>
    <row r="61" spans="5:9" ht="20.25" customHeight="1">
      <c r="E61" s="353"/>
      <c r="F61" s="353"/>
      <c r="G61" s="353"/>
      <c r="H61" s="353"/>
      <c r="I61" s="353"/>
    </row>
    <row r="62" spans="5:9" ht="20.25" customHeight="1">
      <c r="E62" s="353"/>
      <c r="F62" s="353"/>
      <c r="G62" s="353"/>
      <c r="H62" s="353"/>
      <c r="I62" s="353"/>
    </row>
    <row r="63" spans="5:9" ht="20.25" customHeight="1">
      <c r="E63" s="353"/>
      <c r="F63" s="353"/>
      <c r="G63" s="353"/>
      <c r="H63" s="353"/>
      <c r="I63" s="353"/>
    </row>
    <row r="64" spans="5:9" ht="20.25" customHeight="1">
      <c r="E64" s="353"/>
      <c r="F64" s="353"/>
      <c r="G64" s="353"/>
      <c r="H64" s="353"/>
      <c r="I64" s="353"/>
    </row>
    <row r="65" spans="5:9" ht="20.25" customHeight="1">
      <c r="E65" s="353"/>
      <c r="F65" s="353"/>
      <c r="G65" s="353"/>
      <c r="H65" s="353"/>
      <c r="I65" s="353"/>
    </row>
    <row r="66" spans="5:9" ht="20.25" customHeight="1">
      <c r="E66" s="353"/>
      <c r="F66" s="353"/>
      <c r="G66" s="353"/>
      <c r="H66" s="353"/>
      <c r="I66" s="353"/>
    </row>
    <row r="67" spans="5:9" ht="20.25" customHeight="1">
      <c r="E67" s="353"/>
      <c r="F67" s="353"/>
      <c r="G67" s="353"/>
      <c r="H67" s="353"/>
      <c r="I67" s="353"/>
    </row>
    <row r="68" spans="5:9" ht="20.25" customHeight="1">
      <c r="E68" s="353"/>
      <c r="F68" s="353"/>
      <c r="G68" s="353"/>
      <c r="H68" s="353"/>
      <c r="I68" s="353"/>
    </row>
    <row r="69" spans="5:9" ht="20.25" customHeight="1">
      <c r="E69" s="353"/>
      <c r="F69" s="353"/>
      <c r="G69" s="353"/>
      <c r="H69" s="353"/>
      <c r="I69" s="353"/>
    </row>
    <row r="70" spans="5:9" ht="20.25" customHeight="1">
      <c r="E70" s="353"/>
      <c r="F70" s="353"/>
      <c r="G70" s="353"/>
      <c r="H70" s="353"/>
      <c r="I70" s="353"/>
    </row>
    <row r="71" spans="5:9" ht="20.25" customHeight="1">
      <c r="E71" s="353"/>
      <c r="F71" s="353"/>
      <c r="G71" s="353"/>
      <c r="H71" s="353"/>
      <c r="I71" s="353"/>
    </row>
    <row r="72" spans="5:9" ht="20.25" customHeight="1">
      <c r="E72" s="353"/>
      <c r="F72" s="353"/>
      <c r="G72" s="353"/>
      <c r="H72" s="353"/>
      <c r="I72" s="353"/>
    </row>
    <row r="73" spans="5:9" ht="20.25" customHeight="1">
      <c r="E73" s="353"/>
      <c r="F73" s="353"/>
      <c r="G73" s="353"/>
      <c r="H73" s="353"/>
      <c r="I73" s="353"/>
    </row>
    <row r="74" spans="5:9" ht="20.25" customHeight="1">
      <c r="E74" s="353"/>
      <c r="F74" s="353"/>
      <c r="G74" s="353"/>
      <c r="H74" s="353"/>
      <c r="I74" s="353"/>
    </row>
    <row r="75" spans="5:9" ht="20.25" customHeight="1">
      <c r="E75" s="353"/>
      <c r="F75" s="353"/>
      <c r="G75" s="353"/>
      <c r="H75" s="353"/>
      <c r="I75" s="353"/>
    </row>
    <row r="76" spans="5:9" ht="20.25" customHeight="1">
      <c r="E76" s="353"/>
      <c r="F76" s="353"/>
      <c r="G76" s="353"/>
      <c r="H76" s="353"/>
      <c r="I76" s="353"/>
    </row>
    <row r="77" spans="5:9" ht="20.25" customHeight="1">
      <c r="E77" s="353"/>
      <c r="F77" s="353"/>
      <c r="G77" s="353"/>
      <c r="H77" s="353"/>
      <c r="I77" s="353"/>
    </row>
    <row r="78" spans="5:9" ht="20.25" customHeight="1">
      <c r="E78" s="353"/>
      <c r="F78" s="353"/>
      <c r="G78" s="353"/>
      <c r="H78" s="353"/>
      <c r="I78" s="353"/>
    </row>
    <row r="79" spans="5:9" ht="20.25" customHeight="1">
      <c r="E79" s="353"/>
      <c r="F79" s="353"/>
      <c r="G79" s="353"/>
      <c r="H79" s="353"/>
      <c r="I79" s="353"/>
    </row>
    <row r="80" spans="5:9" ht="20.25" customHeight="1">
      <c r="E80" s="353"/>
      <c r="F80" s="353"/>
      <c r="G80" s="353"/>
      <c r="H80" s="353"/>
      <c r="I80" s="353"/>
    </row>
    <row r="81" spans="5:9" ht="20.25" customHeight="1">
      <c r="E81" s="353"/>
      <c r="F81" s="353"/>
      <c r="G81" s="353"/>
      <c r="H81" s="353"/>
      <c r="I81" s="353"/>
    </row>
    <row r="82" spans="5:9" ht="20.25" customHeight="1">
      <c r="E82" s="353"/>
      <c r="F82" s="353"/>
      <c r="G82" s="353"/>
      <c r="H82" s="353"/>
      <c r="I82" s="353"/>
    </row>
    <row r="83" spans="5:9" ht="20.25" customHeight="1">
      <c r="E83" s="353"/>
      <c r="F83" s="353"/>
      <c r="G83" s="353"/>
      <c r="H83" s="353"/>
      <c r="I83" s="353"/>
    </row>
    <row r="84" spans="5:9" ht="20.25" customHeight="1">
      <c r="E84" s="353"/>
      <c r="F84" s="353"/>
      <c r="G84" s="353"/>
      <c r="H84" s="353"/>
      <c r="I84" s="353"/>
    </row>
    <row r="85" spans="5:9" ht="20.25" customHeight="1">
      <c r="E85" s="353"/>
      <c r="F85" s="353"/>
      <c r="G85" s="353"/>
      <c r="H85" s="353"/>
      <c r="I85" s="353"/>
    </row>
    <row r="86" spans="5:9" ht="20.25" customHeight="1">
      <c r="E86" s="353"/>
      <c r="F86" s="353"/>
      <c r="G86" s="353"/>
      <c r="H86" s="353"/>
      <c r="I86" s="353"/>
    </row>
    <row r="87" spans="5:9" ht="20.25" customHeight="1">
      <c r="E87" s="353"/>
      <c r="F87" s="353"/>
      <c r="G87" s="353"/>
      <c r="H87" s="353"/>
      <c r="I87" s="353"/>
    </row>
    <row r="88" spans="5:9" ht="20.25" customHeight="1">
      <c r="E88" s="353"/>
      <c r="F88" s="353"/>
      <c r="G88" s="353"/>
      <c r="H88" s="353"/>
      <c r="I88" s="353"/>
    </row>
    <row r="89" spans="5:9" ht="20.25" customHeight="1">
      <c r="E89" s="353"/>
      <c r="F89" s="353"/>
      <c r="G89" s="353"/>
      <c r="H89" s="353"/>
      <c r="I89" s="353"/>
    </row>
    <row r="90" spans="5:9" ht="20.25" customHeight="1">
      <c r="E90" s="353"/>
      <c r="F90" s="353"/>
      <c r="G90" s="353"/>
      <c r="H90" s="353"/>
      <c r="I90" s="353"/>
    </row>
    <row r="91" spans="5:9" ht="20.25" customHeight="1">
      <c r="E91" s="353"/>
      <c r="F91" s="353"/>
      <c r="G91" s="353"/>
      <c r="H91" s="353"/>
      <c r="I91" s="353"/>
    </row>
    <row r="92" spans="5:9" ht="20.25" customHeight="1">
      <c r="E92" s="353"/>
      <c r="F92" s="353"/>
      <c r="G92" s="353"/>
      <c r="H92" s="353"/>
      <c r="I92" s="353"/>
    </row>
    <row r="93" spans="5:9" ht="20.25" customHeight="1">
      <c r="E93" s="353"/>
      <c r="F93" s="353"/>
      <c r="G93" s="353"/>
      <c r="H93" s="353"/>
      <c r="I93" s="353"/>
    </row>
    <row r="94" spans="5:9" ht="20.25" customHeight="1">
      <c r="E94" s="353"/>
      <c r="F94" s="353"/>
      <c r="G94" s="353"/>
      <c r="H94" s="353"/>
      <c r="I94" s="353"/>
    </row>
    <row r="95" spans="5:9" ht="20.25" customHeight="1">
      <c r="E95" s="353"/>
      <c r="F95" s="353"/>
      <c r="G95" s="353"/>
      <c r="H95" s="353"/>
      <c r="I95" s="353"/>
    </row>
    <row r="96" spans="5:9" ht="20.25" customHeight="1">
      <c r="E96" s="353"/>
      <c r="F96" s="353"/>
      <c r="G96" s="353"/>
      <c r="H96" s="353"/>
      <c r="I96" s="353"/>
    </row>
    <row r="97" spans="5:9" ht="20.25" customHeight="1">
      <c r="E97" s="353"/>
      <c r="F97" s="353"/>
      <c r="G97" s="353"/>
      <c r="H97" s="353"/>
      <c r="I97" s="353"/>
    </row>
    <row r="98" spans="5:9" ht="20.25" customHeight="1">
      <c r="E98" s="353"/>
      <c r="F98" s="353"/>
      <c r="G98" s="353"/>
      <c r="H98" s="353"/>
      <c r="I98" s="353"/>
    </row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</sheetData>
  <sheetProtection/>
  <mergeCells count="7">
    <mergeCell ref="A1:J1"/>
    <mergeCell ref="D4:D5"/>
    <mergeCell ref="E4:E5"/>
    <mergeCell ref="F4:F5"/>
    <mergeCell ref="G4:G5"/>
    <mergeCell ref="H4:H5"/>
    <mergeCell ref="J4:J5"/>
  </mergeCells>
  <printOptions/>
  <pageMargins left="0.7" right="0.7" top="0.75" bottom="0.75" header="0.3" footer="0.3"/>
  <pageSetup fitToHeight="0" fitToWidth="1" horizontalDpi="600" verticalDpi="600" orientation="portrait" paperSize="8" scale="50" r:id="rId3"/>
  <ignoredErrors>
    <ignoredError sqref="H16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view="pageBreakPreview" zoomScale="70" zoomScaleNormal="70" zoomScaleSheetLayoutView="70" zoomScalePageLayoutView="0" workbookViewId="0" topLeftCell="A1">
      <selection activeCell="F122" sqref="F122"/>
    </sheetView>
  </sheetViews>
  <sheetFormatPr defaultColWidth="8.88671875" defaultRowHeight="13.5"/>
  <cols>
    <col min="1" max="1" width="29.10546875" style="601" bestFit="1" customWidth="1"/>
    <col min="2" max="2" width="15.21484375" style="601" customWidth="1"/>
    <col min="3" max="3" width="17.5546875" style="601" customWidth="1"/>
    <col min="4" max="4" width="19.6640625" style="601" customWidth="1"/>
    <col min="5" max="5" width="19.77734375" style="354" customWidth="1"/>
    <col min="6" max="6" width="18.4453125" style="601" customWidth="1"/>
    <col min="7" max="7" width="19.6640625" style="601" customWidth="1"/>
    <col min="8" max="9" width="21.21484375" style="601" bestFit="1" customWidth="1"/>
    <col min="10" max="10" width="42.3359375" style="601" customWidth="1"/>
    <col min="11" max="11" width="17.21484375" style="355" bestFit="1" customWidth="1"/>
    <col min="12" max="13" width="15.3359375" style="603" bestFit="1" customWidth="1"/>
    <col min="14" max="16384" width="8.88671875" style="601" customWidth="1"/>
  </cols>
  <sheetData>
    <row r="1" spans="1:10" ht="34.5" customHeight="1">
      <c r="A1" s="1051" t="s">
        <v>855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20" s="608" customFormat="1" ht="19.5" customHeight="1">
      <c r="A2" s="492" t="s">
        <v>927</v>
      </c>
      <c r="B2" s="493"/>
      <c r="C2" s="612"/>
      <c r="D2" s="493"/>
      <c r="E2" s="493"/>
      <c r="L2" s="609"/>
      <c r="M2" s="609"/>
      <c r="N2" s="609"/>
      <c r="O2" s="609"/>
      <c r="P2" s="609"/>
      <c r="R2" s="611"/>
      <c r="T2" s="609"/>
    </row>
    <row r="3" spans="1:10" ht="34.5" customHeight="1">
      <c r="A3" s="265" t="s">
        <v>928</v>
      </c>
      <c r="E3" s="356" t="s">
        <v>856</v>
      </c>
      <c r="F3" s="356" t="s">
        <v>857</v>
      </c>
      <c r="G3" s="356" t="s">
        <v>20</v>
      </c>
      <c r="H3" s="601" t="s">
        <v>858</v>
      </c>
      <c r="J3" s="267" t="s">
        <v>859</v>
      </c>
    </row>
    <row r="4" spans="1:13" s="794" customFormat="1" ht="34.5" customHeight="1">
      <c r="A4" s="268"/>
      <c r="B4" s="269" t="s">
        <v>395</v>
      </c>
      <c r="C4" s="269"/>
      <c r="D4" s="1073" t="s">
        <v>860</v>
      </c>
      <c r="E4" s="1073" t="s">
        <v>929</v>
      </c>
      <c r="F4" s="1071" t="s">
        <v>396</v>
      </c>
      <c r="G4" s="1066" t="s">
        <v>930</v>
      </c>
      <c r="H4" s="1068" t="s">
        <v>931</v>
      </c>
      <c r="I4" s="270" t="s">
        <v>398</v>
      </c>
      <c r="J4" s="1069" t="s">
        <v>455</v>
      </c>
      <c r="K4" s="357"/>
      <c r="L4" s="358"/>
      <c r="M4" s="358"/>
    </row>
    <row r="5" spans="1:11" ht="34.5" customHeight="1">
      <c r="A5" s="272" t="s">
        <v>400</v>
      </c>
      <c r="B5" s="273" t="s">
        <v>401</v>
      </c>
      <c r="C5" s="274" t="s">
        <v>3</v>
      </c>
      <c r="D5" s="1053"/>
      <c r="E5" s="1053"/>
      <c r="F5" s="1053"/>
      <c r="G5" s="1067"/>
      <c r="H5" s="1061"/>
      <c r="I5" s="275" t="s">
        <v>402</v>
      </c>
      <c r="J5" s="1070"/>
      <c r="K5" s="357"/>
    </row>
    <row r="6" spans="1:10" ht="34.5" customHeight="1">
      <c r="A6" s="359" t="s">
        <v>456</v>
      </c>
      <c r="B6" s="343"/>
      <c r="C6" s="360"/>
      <c r="D6" s="361">
        <f>D7+D25+D62+D65+D73+D78+D70+D81+D89+D102+D110</f>
        <v>203293000000</v>
      </c>
      <c r="E6" s="361">
        <f>E7+E25+E62+E65+E73+E78+E70+E81+E89+E102+E110</f>
        <v>18361102715</v>
      </c>
      <c r="F6" s="361">
        <f>F7+F25+F62+F65+F73+F78+F70+F81+F89+F102+F110</f>
        <v>103809207285</v>
      </c>
      <c r="G6" s="362">
        <f>G7+G25+G62+G65+G73+G78+G70+G81+G89+G102+G110</f>
        <v>122170310000</v>
      </c>
      <c r="H6" s="363">
        <f>H7+H25+H62+H65+H73+H78+H70+H81+H89+H102+H110</f>
        <v>127776852522</v>
      </c>
      <c r="I6" s="364">
        <f>H6-D6</f>
        <v>-75516147478</v>
      </c>
      <c r="J6" s="365" t="s">
        <v>20</v>
      </c>
    </row>
    <row r="7" spans="1:10" ht="34.5" customHeight="1">
      <c r="A7" s="366" t="s">
        <v>457</v>
      </c>
      <c r="B7" s="367"/>
      <c r="C7" s="368"/>
      <c r="D7" s="369">
        <f>D18+D8</f>
        <v>16000000000</v>
      </c>
      <c r="E7" s="369">
        <f>E18+E8</f>
        <v>1236981000</v>
      </c>
      <c r="F7" s="369">
        <f>F18+F8</f>
        <v>8563019000</v>
      </c>
      <c r="G7" s="370">
        <f>G18+G8</f>
        <v>9800000000</v>
      </c>
      <c r="H7" s="371">
        <f>H18+H8</f>
        <v>9800000000</v>
      </c>
      <c r="I7" s="372">
        <f aca="true" t="shared" si="0" ref="I7:I73">H7-D7</f>
        <v>-6200000000</v>
      </c>
      <c r="J7" s="373"/>
    </row>
    <row r="8" spans="1:10" ht="34.5" customHeight="1">
      <c r="A8" s="374"/>
      <c r="B8" s="375" t="s">
        <v>458</v>
      </c>
      <c r="C8" s="376"/>
      <c r="D8" s="786">
        <f>SUM(D9:D16)</f>
        <v>4000000000</v>
      </c>
      <c r="E8" s="786">
        <f>SUM(E9:E16)</f>
        <v>55417850</v>
      </c>
      <c r="F8" s="786">
        <f>SUM(F9:F16)</f>
        <v>1944582150</v>
      </c>
      <c r="G8" s="378">
        <f>SUM(G9:G16)</f>
        <v>2000000000</v>
      </c>
      <c r="H8" s="379">
        <f>SUM(H9:H16)</f>
        <v>2000000000</v>
      </c>
      <c r="I8" s="380">
        <f>H8-D8</f>
        <v>-2000000000</v>
      </c>
      <c r="J8" s="754"/>
    </row>
    <row r="9" spans="1:10" ht="34.5" customHeight="1">
      <c r="A9" s="374"/>
      <c r="B9" s="375"/>
      <c r="C9" s="382" t="s">
        <v>459</v>
      </c>
      <c r="D9" s="787"/>
      <c r="E9" s="787"/>
      <c r="F9" s="787"/>
      <c r="G9" s="772">
        <f>E9+F9</f>
        <v>0</v>
      </c>
      <c r="H9" s="302">
        <f>+IF(D9&gt;G9,D9,G9)</f>
        <v>0</v>
      </c>
      <c r="I9" s="380">
        <f t="shared" si="0"/>
        <v>0</v>
      </c>
      <c r="J9" s="758"/>
    </row>
    <row r="10" spans="1:11" ht="34.5" customHeight="1">
      <c r="A10" s="374"/>
      <c r="B10" s="375"/>
      <c r="C10" s="382" t="s">
        <v>460</v>
      </c>
      <c r="D10" s="787">
        <v>0</v>
      </c>
      <c r="E10" s="787">
        <v>0</v>
      </c>
      <c r="F10" s="787">
        <v>0</v>
      </c>
      <c r="G10" s="772">
        <f aca="true" t="shared" si="1" ref="G10:G16">E10+F10</f>
        <v>0</v>
      </c>
      <c r="H10" s="302">
        <f>+IF(D10&gt;G10,D10,G10)</f>
        <v>0</v>
      </c>
      <c r="I10" s="380">
        <f t="shared" si="0"/>
        <v>0</v>
      </c>
      <c r="J10" s="758"/>
      <c r="K10" s="386"/>
    </row>
    <row r="11" spans="1:10" ht="34.5" customHeight="1">
      <c r="A11" s="374"/>
      <c r="B11" s="375"/>
      <c r="C11" s="382" t="s">
        <v>461</v>
      </c>
      <c r="D11" s="787">
        <v>4000000000</v>
      </c>
      <c r="E11" s="787">
        <v>55417850</v>
      </c>
      <c r="F11" s="787">
        <v>1944582150</v>
      </c>
      <c r="G11" s="772">
        <f t="shared" si="1"/>
        <v>2000000000</v>
      </c>
      <c r="H11" s="302">
        <f>+G11</f>
        <v>2000000000</v>
      </c>
      <c r="I11" s="387">
        <f>H11-D11</f>
        <v>-2000000000</v>
      </c>
      <c r="J11" s="744"/>
    </row>
    <row r="12" spans="1:10" ht="34.5" customHeight="1">
      <c r="A12" s="374"/>
      <c r="B12" s="375"/>
      <c r="C12" s="382" t="s">
        <v>462</v>
      </c>
      <c r="D12" s="787">
        <v>0</v>
      </c>
      <c r="E12" s="787">
        <v>0</v>
      </c>
      <c r="F12" s="787">
        <v>0</v>
      </c>
      <c r="G12" s="772">
        <f t="shared" si="1"/>
        <v>0</v>
      </c>
      <c r="H12" s="302">
        <f>+IF(D12&gt;G12,D12,G12)</f>
        <v>0</v>
      </c>
      <c r="I12" s="380">
        <f t="shared" si="0"/>
        <v>0</v>
      </c>
      <c r="J12" s="758"/>
    </row>
    <row r="13" spans="1:11" ht="34.5" customHeight="1">
      <c r="A13" s="374"/>
      <c r="B13" s="375"/>
      <c r="C13" s="382" t="s">
        <v>463</v>
      </c>
      <c r="D13" s="787">
        <v>0</v>
      </c>
      <c r="E13" s="787">
        <v>0</v>
      </c>
      <c r="F13" s="787">
        <v>0</v>
      </c>
      <c r="G13" s="772">
        <f>E13+F13</f>
        <v>0</v>
      </c>
      <c r="H13" s="302">
        <f>+IF(D13&gt;G13,D13,G13)</f>
        <v>0</v>
      </c>
      <c r="I13" s="380">
        <f t="shared" si="0"/>
        <v>0</v>
      </c>
      <c r="J13" s="389" t="s">
        <v>20</v>
      </c>
      <c r="K13" s="390"/>
    </row>
    <row r="14" spans="1:11" ht="34.5" customHeight="1">
      <c r="A14" s="374"/>
      <c r="B14" s="375"/>
      <c r="C14" s="391" t="s">
        <v>464</v>
      </c>
      <c r="D14" s="787">
        <v>0</v>
      </c>
      <c r="E14" s="787">
        <v>0</v>
      </c>
      <c r="F14" s="787">
        <v>0</v>
      </c>
      <c r="G14" s="772">
        <f t="shared" si="1"/>
        <v>0</v>
      </c>
      <c r="H14" s="302">
        <f>+IF(D14&gt;G14,D14,G14)</f>
        <v>0</v>
      </c>
      <c r="I14" s="380">
        <f t="shared" si="0"/>
        <v>0</v>
      </c>
      <c r="J14" s="393"/>
      <c r="K14" s="390"/>
    </row>
    <row r="15" spans="1:10" ht="34.5" customHeight="1">
      <c r="A15" s="374"/>
      <c r="B15" s="375"/>
      <c r="C15" s="391" t="s">
        <v>465</v>
      </c>
      <c r="D15" s="787">
        <v>0</v>
      </c>
      <c r="E15" s="787"/>
      <c r="F15" s="787">
        <v>0</v>
      </c>
      <c r="G15" s="772">
        <f t="shared" si="1"/>
        <v>0</v>
      </c>
      <c r="H15" s="302">
        <f>+IF(D15&gt;G15,D15,G15)</f>
        <v>0</v>
      </c>
      <c r="I15" s="387">
        <f t="shared" si="0"/>
        <v>0</v>
      </c>
      <c r="J15" s="389" t="s">
        <v>20</v>
      </c>
    </row>
    <row r="16" spans="1:10" ht="34.5" customHeight="1">
      <c r="A16" s="374"/>
      <c r="B16" s="375"/>
      <c r="C16" s="382" t="s">
        <v>466</v>
      </c>
      <c r="D16" s="787">
        <v>0</v>
      </c>
      <c r="E16" s="787">
        <v>0</v>
      </c>
      <c r="F16" s="787">
        <v>0</v>
      </c>
      <c r="G16" s="772">
        <f t="shared" si="1"/>
        <v>0</v>
      </c>
      <c r="H16" s="302">
        <f>+IF(D16&gt;G16,D16,G16)</f>
        <v>0</v>
      </c>
      <c r="I16" s="387">
        <f t="shared" si="0"/>
        <v>0</v>
      </c>
      <c r="J16" s="389" t="s">
        <v>20</v>
      </c>
    </row>
    <row r="17" spans="1:10" ht="34.5" customHeight="1">
      <c r="A17" s="374"/>
      <c r="B17" s="375"/>
      <c r="C17" s="382"/>
      <c r="D17" s="787"/>
      <c r="E17" s="787"/>
      <c r="F17" s="787"/>
      <c r="G17" s="772"/>
      <c r="H17" s="302"/>
      <c r="I17" s="387"/>
      <c r="J17" s="389"/>
    </row>
    <row r="18" spans="1:10" ht="34.5" customHeight="1">
      <c r="A18" s="374"/>
      <c r="B18" s="394" t="s">
        <v>467</v>
      </c>
      <c r="C18" s="391"/>
      <c r="D18" s="787">
        <f>SUM(D19:D24)</f>
        <v>12000000000</v>
      </c>
      <c r="E18" s="787">
        <f>SUM(E19:E24)</f>
        <v>1181563150</v>
      </c>
      <c r="F18" s="787">
        <f>SUM(F19:F24)</f>
        <v>6618436850</v>
      </c>
      <c r="G18" s="772">
        <f>+E18+F18</f>
        <v>7800000000</v>
      </c>
      <c r="H18" s="302">
        <f>SUM(H19:H24)</f>
        <v>7800000000</v>
      </c>
      <c r="I18" s="387">
        <f t="shared" si="0"/>
        <v>-4200000000</v>
      </c>
      <c r="J18" s="758" t="s">
        <v>20</v>
      </c>
    </row>
    <row r="19" spans="1:10" ht="34.5" customHeight="1">
      <c r="A19" s="374"/>
      <c r="B19" s="375"/>
      <c r="C19" s="391" t="s">
        <v>468</v>
      </c>
      <c r="D19" s="788">
        <v>12000000000</v>
      </c>
      <c r="E19" s="802">
        <v>977790420</v>
      </c>
      <c r="F19" s="787">
        <v>5022209580</v>
      </c>
      <c r="G19" s="772">
        <f>E19+F19</f>
        <v>6000000000</v>
      </c>
      <c r="H19" s="302">
        <f>+G19</f>
        <v>6000000000</v>
      </c>
      <c r="I19" s="387">
        <f t="shared" si="0"/>
        <v>-6000000000</v>
      </c>
      <c r="J19" s="744"/>
    </row>
    <row r="20" spans="1:10" ht="34.5" customHeight="1">
      <c r="A20" s="374"/>
      <c r="B20" s="375"/>
      <c r="C20" s="382" t="s">
        <v>469</v>
      </c>
      <c r="D20" s="788">
        <v>0</v>
      </c>
      <c r="E20" s="788">
        <v>0</v>
      </c>
      <c r="F20" s="788">
        <v>0</v>
      </c>
      <c r="G20" s="772">
        <f>E20+F20</f>
        <v>0</v>
      </c>
      <c r="H20" s="302">
        <f>+IF(D20&gt;G20,D20,G20)</f>
        <v>0</v>
      </c>
      <c r="I20" s="387">
        <f t="shared" si="0"/>
        <v>0</v>
      </c>
      <c r="J20" s="744"/>
    </row>
    <row r="21" spans="1:10" ht="34.5" customHeight="1">
      <c r="A21" s="374"/>
      <c r="B21" s="375"/>
      <c r="C21" s="382" t="s">
        <v>470</v>
      </c>
      <c r="D21" s="788">
        <v>0</v>
      </c>
      <c r="E21" s="788">
        <v>115833960</v>
      </c>
      <c r="F21" s="788">
        <v>884166040</v>
      </c>
      <c r="G21" s="772">
        <f>E21+F21</f>
        <v>1000000000</v>
      </c>
      <c r="H21" s="302">
        <f>+IF(D21&gt;G21,D21,G21)</f>
        <v>1000000000</v>
      </c>
      <c r="I21" s="387">
        <f t="shared" si="0"/>
        <v>1000000000</v>
      </c>
      <c r="J21" s="744"/>
    </row>
    <row r="22" spans="1:10" ht="34.5" customHeight="1">
      <c r="A22" s="374"/>
      <c r="B22" s="375"/>
      <c r="C22" s="391" t="s">
        <v>471</v>
      </c>
      <c r="D22" s="788">
        <v>0</v>
      </c>
      <c r="E22" s="788">
        <f>4293968+530592</f>
        <v>4824560</v>
      </c>
      <c r="F22" s="788">
        <v>495175440</v>
      </c>
      <c r="G22" s="772">
        <f>E22+F22</f>
        <v>500000000</v>
      </c>
      <c r="H22" s="302">
        <f>+IF(D22&gt;G22,D22,G22)</f>
        <v>500000000</v>
      </c>
      <c r="I22" s="387">
        <f t="shared" si="0"/>
        <v>500000000</v>
      </c>
      <c r="J22" s="744"/>
    </row>
    <row r="23" spans="1:10" ht="34.5" customHeight="1">
      <c r="A23" s="374"/>
      <c r="B23" s="375"/>
      <c r="C23" s="382" t="s">
        <v>865</v>
      </c>
      <c r="D23" s="788">
        <v>0</v>
      </c>
      <c r="E23" s="788">
        <v>0</v>
      </c>
      <c r="F23" s="788">
        <v>0</v>
      </c>
      <c r="G23" s="772">
        <f>E23+F23</f>
        <v>0</v>
      </c>
      <c r="H23" s="302">
        <f>+IF(D23&gt;G23,D23,G23)</f>
        <v>0</v>
      </c>
      <c r="I23" s="387">
        <f t="shared" si="0"/>
        <v>0</v>
      </c>
      <c r="J23" s="745"/>
    </row>
    <row r="24" spans="1:10" ht="34.5" customHeight="1">
      <c r="A24" s="395"/>
      <c r="B24" s="396"/>
      <c r="C24" s="397" t="s">
        <v>473</v>
      </c>
      <c r="D24" s="788">
        <v>0</v>
      </c>
      <c r="E24" s="788">
        <f>47328534+35785676</f>
        <v>83114210</v>
      </c>
      <c r="F24" s="788">
        <v>216885790</v>
      </c>
      <c r="G24" s="772">
        <f>E24+F24</f>
        <v>300000000</v>
      </c>
      <c r="H24" s="302">
        <f>+G24</f>
        <v>300000000</v>
      </c>
      <c r="I24" s="398">
        <f t="shared" si="0"/>
        <v>300000000</v>
      </c>
      <c r="J24" s="399"/>
    </row>
    <row r="25" spans="1:10" ht="34.5" customHeight="1">
      <c r="A25" s="366" t="s">
        <v>474</v>
      </c>
      <c r="B25" s="367"/>
      <c r="C25" s="368"/>
      <c r="D25" s="369"/>
      <c r="E25" s="369">
        <f>E26+E35+E45+E55</f>
        <v>372178516</v>
      </c>
      <c r="F25" s="369">
        <f>F26+F35+F45+F55</f>
        <v>5771131484</v>
      </c>
      <c r="G25" s="370">
        <f>G26+G35+G45+G55</f>
        <v>6143310000</v>
      </c>
      <c r="H25" s="371">
        <f>H26+H35+H45+H55</f>
        <v>6143310000</v>
      </c>
      <c r="I25" s="400">
        <f>H25-D25</f>
        <v>6143310000</v>
      </c>
      <c r="J25" s="373"/>
    </row>
    <row r="26" spans="1:10" ht="34.5" customHeight="1">
      <c r="A26" s="374"/>
      <c r="B26" s="375" t="s">
        <v>475</v>
      </c>
      <c r="C26" s="376"/>
      <c r="D26" s="401">
        <f>SUM(D27:D34)</f>
        <v>0</v>
      </c>
      <c r="E26" s="401">
        <f>SUM(E27:E34)</f>
        <v>67632221</v>
      </c>
      <c r="F26" s="401">
        <f>SUM(F27:F34)</f>
        <v>312367779</v>
      </c>
      <c r="G26" s="378">
        <f>SUM(G27:G34)</f>
        <v>380000000</v>
      </c>
      <c r="H26" s="402">
        <f>SUM(H27:H34)</f>
        <v>380000000</v>
      </c>
      <c r="I26" s="387">
        <f t="shared" si="0"/>
        <v>380000000</v>
      </c>
      <c r="J26" s="754"/>
    </row>
    <row r="27" spans="1:13" ht="34.5" customHeight="1">
      <c r="A27" s="374"/>
      <c r="B27" s="375"/>
      <c r="C27" s="382" t="s">
        <v>476</v>
      </c>
      <c r="D27" s="787">
        <v>0</v>
      </c>
      <c r="E27" s="787">
        <v>0</v>
      </c>
      <c r="F27" s="787">
        <v>0</v>
      </c>
      <c r="G27" s="772">
        <f aca="true" t="shared" si="2" ref="G27:G34">E27+F27</f>
        <v>0</v>
      </c>
      <c r="H27" s="302">
        <f>+IF(D27&gt;G27,D27,G27)</f>
        <v>0</v>
      </c>
      <c r="I27" s="387">
        <f t="shared" si="0"/>
        <v>0</v>
      </c>
      <c r="J27" s="759"/>
      <c r="K27" s="404"/>
      <c r="L27" s="405"/>
      <c r="M27" s="405"/>
    </row>
    <row r="28" spans="1:11" ht="34.5" customHeight="1">
      <c r="A28" s="374"/>
      <c r="B28" s="375"/>
      <c r="C28" s="382" t="s">
        <v>477</v>
      </c>
      <c r="D28" s="787">
        <v>0</v>
      </c>
      <c r="E28" s="787">
        <v>0</v>
      </c>
      <c r="F28" s="787">
        <v>0</v>
      </c>
      <c r="G28" s="772">
        <f t="shared" si="2"/>
        <v>0</v>
      </c>
      <c r="H28" s="302">
        <f>+IF(D28&gt;G28,D28,G28)</f>
        <v>0</v>
      </c>
      <c r="I28" s="387">
        <f t="shared" si="0"/>
        <v>0</v>
      </c>
      <c r="J28" s="760"/>
      <c r="K28" s="390"/>
    </row>
    <row r="29" spans="1:10" ht="34.5" customHeight="1" hidden="1">
      <c r="A29" s="374"/>
      <c r="B29" s="375"/>
      <c r="C29" s="391" t="s">
        <v>478</v>
      </c>
      <c r="D29" s="787">
        <v>0</v>
      </c>
      <c r="E29" s="787">
        <v>0</v>
      </c>
      <c r="F29" s="787">
        <v>0</v>
      </c>
      <c r="G29" s="772">
        <f t="shared" si="2"/>
        <v>0</v>
      </c>
      <c r="H29" s="302">
        <f>+IF(D29&gt;G29,D29,G29)</f>
        <v>0</v>
      </c>
      <c r="I29" s="387">
        <f t="shared" si="0"/>
        <v>0</v>
      </c>
      <c r="J29" s="758"/>
    </row>
    <row r="30" spans="1:10" ht="34.5" customHeight="1" hidden="1">
      <c r="A30" s="374"/>
      <c r="B30" s="375"/>
      <c r="C30" s="391" t="s">
        <v>479</v>
      </c>
      <c r="D30" s="787">
        <v>0</v>
      </c>
      <c r="E30" s="787">
        <v>0</v>
      </c>
      <c r="F30" s="787">
        <v>0</v>
      </c>
      <c r="G30" s="772">
        <f t="shared" si="2"/>
        <v>0</v>
      </c>
      <c r="H30" s="302">
        <f>+IF(D30&gt;G30,D30,G30)</f>
        <v>0</v>
      </c>
      <c r="I30" s="407">
        <f t="shared" si="0"/>
        <v>0</v>
      </c>
      <c r="J30" s="758"/>
    </row>
    <row r="31" spans="1:11" ht="34.5" customHeight="1">
      <c r="A31" s="374"/>
      <c r="B31" s="375"/>
      <c r="C31" s="391" t="s">
        <v>480</v>
      </c>
      <c r="D31" s="787">
        <v>0</v>
      </c>
      <c r="E31" s="787">
        <v>6944311</v>
      </c>
      <c r="F31" s="787">
        <v>193055689</v>
      </c>
      <c r="G31" s="772">
        <f t="shared" si="2"/>
        <v>200000000</v>
      </c>
      <c r="H31" s="302">
        <f>+IF(D31&gt;G31,D31,G31)</f>
        <v>200000000</v>
      </c>
      <c r="I31" s="387">
        <f>H31-D31</f>
        <v>200000000</v>
      </c>
      <c r="J31" s="754"/>
      <c r="K31" s="390"/>
    </row>
    <row r="32" spans="1:10" ht="34.5" customHeight="1">
      <c r="A32" s="374"/>
      <c r="B32" s="375"/>
      <c r="C32" s="391" t="s">
        <v>481</v>
      </c>
      <c r="D32" s="787">
        <v>0</v>
      </c>
      <c r="E32" s="788">
        <v>8677910</v>
      </c>
      <c r="F32" s="787">
        <v>41322090</v>
      </c>
      <c r="G32" s="772">
        <f t="shared" si="2"/>
        <v>50000000</v>
      </c>
      <c r="H32" s="302">
        <f>+IF(D32&gt;G32,D32,G32)</f>
        <v>50000000</v>
      </c>
      <c r="I32" s="407">
        <f t="shared" si="0"/>
        <v>50000000</v>
      </c>
      <c r="J32" s="758"/>
    </row>
    <row r="33" spans="1:10" ht="34.5" customHeight="1">
      <c r="A33" s="374"/>
      <c r="B33" s="375"/>
      <c r="C33" s="391" t="s">
        <v>482</v>
      </c>
      <c r="D33" s="787">
        <v>0</v>
      </c>
      <c r="E33" s="788">
        <v>10010000</v>
      </c>
      <c r="F33" s="787">
        <v>19990000</v>
      </c>
      <c r="G33" s="772">
        <f>E33+F33</f>
        <v>30000000</v>
      </c>
      <c r="H33" s="302">
        <f>+IF(D33&gt;G33,D33,G33)</f>
        <v>30000000</v>
      </c>
      <c r="I33" s="407">
        <f t="shared" si="0"/>
        <v>30000000</v>
      </c>
      <c r="J33" s="758"/>
    </row>
    <row r="34" spans="1:11" ht="34.5" customHeight="1">
      <c r="A34" s="374"/>
      <c r="B34" s="375"/>
      <c r="C34" s="391" t="s">
        <v>483</v>
      </c>
      <c r="D34" s="787">
        <v>0</v>
      </c>
      <c r="E34" s="788">
        <v>42000000</v>
      </c>
      <c r="F34" s="787">
        <v>58000000</v>
      </c>
      <c r="G34" s="772">
        <f t="shared" si="2"/>
        <v>100000000</v>
      </c>
      <c r="H34" s="302">
        <f>+IF(D34&gt;G34,D34,G34)</f>
        <v>100000000</v>
      </c>
      <c r="I34" s="407">
        <f t="shared" si="0"/>
        <v>100000000</v>
      </c>
      <c r="J34" s="758"/>
      <c r="K34" s="390"/>
    </row>
    <row r="35" spans="1:10" ht="34.5" customHeight="1">
      <c r="A35" s="374"/>
      <c r="B35" s="394" t="s">
        <v>484</v>
      </c>
      <c r="C35" s="391"/>
      <c r="D35" s="787">
        <f>SUM(D36:D44)</f>
        <v>0</v>
      </c>
      <c r="E35" s="787">
        <f>SUM(E36:E44)</f>
        <v>205408795</v>
      </c>
      <c r="F35" s="787">
        <f>SUM(F36:F44)</f>
        <v>2164591205</v>
      </c>
      <c r="G35" s="772">
        <f>SUM(G36:G44)</f>
        <v>2370000000</v>
      </c>
      <c r="H35" s="302">
        <f>SUM(H36:H44)</f>
        <v>2370000000</v>
      </c>
      <c r="I35" s="407">
        <f t="shared" si="0"/>
        <v>2370000000</v>
      </c>
      <c r="J35" s="758"/>
    </row>
    <row r="36" spans="1:11" ht="34.5" customHeight="1">
      <c r="A36" s="374"/>
      <c r="B36" s="375"/>
      <c r="C36" s="391" t="s">
        <v>485</v>
      </c>
      <c r="D36" s="788">
        <v>0</v>
      </c>
      <c r="E36" s="788">
        <v>13140000</v>
      </c>
      <c r="F36" s="787">
        <v>36860000</v>
      </c>
      <c r="G36" s="772">
        <f aca="true" t="shared" si="3" ref="G36:G44">E36+F36</f>
        <v>50000000</v>
      </c>
      <c r="H36" s="302">
        <f>+IF(D36&gt;G36,D36,G36)</f>
        <v>50000000</v>
      </c>
      <c r="I36" s="407">
        <f t="shared" si="0"/>
        <v>50000000</v>
      </c>
      <c r="J36" s="760"/>
      <c r="K36" s="390"/>
    </row>
    <row r="37" spans="1:11" ht="34.5" customHeight="1">
      <c r="A37" s="374"/>
      <c r="B37" s="375"/>
      <c r="C37" s="376" t="s">
        <v>486</v>
      </c>
      <c r="D37" s="788">
        <v>0</v>
      </c>
      <c r="E37" s="788">
        <v>195000</v>
      </c>
      <c r="F37" s="787">
        <v>19805000</v>
      </c>
      <c r="G37" s="772">
        <f t="shared" si="3"/>
        <v>20000000</v>
      </c>
      <c r="H37" s="302">
        <f>+IF(D37&gt;G37,D37,G37)</f>
        <v>20000000</v>
      </c>
      <c r="I37" s="407">
        <f t="shared" si="0"/>
        <v>20000000</v>
      </c>
      <c r="J37" s="758"/>
      <c r="K37" s="390"/>
    </row>
    <row r="38" spans="1:11" ht="34.5" customHeight="1">
      <c r="A38" s="374"/>
      <c r="B38" s="375"/>
      <c r="C38" s="376" t="s">
        <v>487</v>
      </c>
      <c r="D38" s="788">
        <v>0</v>
      </c>
      <c r="E38" s="788">
        <v>7296750</v>
      </c>
      <c r="F38" s="787">
        <v>492703250</v>
      </c>
      <c r="G38" s="772">
        <f t="shared" si="3"/>
        <v>500000000</v>
      </c>
      <c r="H38" s="302">
        <f>+IF(D38&gt;G38,D38,G38)</f>
        <v>500000000</v>
      </c>
      <c r="I38" s="407">
        <f t="shared" si="0"/>
        <v>500000000</v>
      </c>
      <c r="J38" s="758"/>
      <c r="K38" s="390"/>
    </row>
    <row r="39" spans="1:11" ht="34.5" customHeight="1">
      <c r="A39" s="374"/>
      <c r="B39" s="375"/>
      <c r="C39" s="391" t="s">
        <v>488</v>
      </c>
      <c r="D39" s="788">
        <v>0</v>
      </c>
      <c r="E39" s="788">
        <v>0</v>
      </c>
      <c r="F39" s="787">
        <v>200000000</v>
      </c>
      <c r="G39" s="772">
        <f t="shared" si="3"/>
        <v>200000000</v>
      </c>
      <c r="H39" s="302">
        <f>+IF(D39&gt;G39,D39,G39)</f>
        <v>200000000</v>
      </c>
      <c r="I39" s="407">
        <f t="shared" si="0"/>
        <v>200000000</v>
      </c>
      <c r="J39" s="758"/>
      <c r="K39" s="386"/>
    </row>
    <row r="40" spans="1:11" ht="34.5" customHeight="1">
      <c r="A40" s="374"/>
      <c r="B40" s="375"/>
      <c r="C40" s="391" t="s">
        <v>489</v>
      </c>
      <c r="D40" s="788">
        <v>0</v>
      </c>
      <c r="E40" s="788">
        <v>0</v>
      </c>
      <c r="F40" s="787">
        <v>300000000</v>
      </c>
      <c r="G40" s="772">
        <f t="shared" si="3"/>
        <v>300000000</v>
      </c>
      <c r="H40" s="302">
        <f>+IF(D40&gt;G40,D40,G40)</f>
        <v>300000000</v>
      </c>
      <c r="I40" s="407">
        <f t="shared" si="0"/>
        <v>300000000</v>
      </c>
      <c r="J40" s="758"/>
      <c r="K40" s="390"/>
    </row>
    <row r="41" spans="1:11" ht="34.5" customHeight="1">
      <c r="A41" s="374"/>
      <c r="B41" s="375"/>
      <c r="C41" s="391" t="s">
        <v>490</v>
      </c>
      <c r="D41" s="788">
        <v>0</v>
      </c>
      <c r="E41" s="788">
        <v>0</v>
      </c>
      <c r="F41" s="787">
        <v>700000000</v>
      </c>
      <c r="G41" s="772">
        <f t="shared" si="3"/>
        <v>700000000</v>
      </c>
      <c r="H41" s="302">
        <f>+IF(D41&gt;G41,D41,G41)</f>
        <v>700000000</v>
      </c>
      <c r="I41" s="407">
        <f t="shared" si="0"/>
        <v>700000000</v>
      </c>
      <c r="J41" s="758"/>
      <c r="K41" s="390"/>
    </row>
    <row r="42" spans="1:11" ht="34.5" customHeight="1">
      <c r="A42" s="374"/>
      <c r="B42" s="375"/>
      <c r="C42" s="391" t="s">
        <v>491</v>
      </c>
      <c r="D42" s="788">
        <v>0</v>
      </c>
      <c r="E42" s="788">
        <v>657980</v>
      </c>
      <c r="F42" s="787">
        <v>99342020</v>
      </c>
      <c r="G42" s="772">
        <f t="shared" si="3"/>
        <v>100000000</v>
      </c>
      <c r="H42" s="302">
        <f>+IF(D42&gt;G42,D42,G42)</f>
        <v>100000000</v>
      </c>
      <c r="I42" s="407">
        <f t="shared" si="0"/>
        <v>100000000</v>
      </c>
      <c r="J42" s="758"/>
      <c r="K42" s="390"/>
    </row>
    <row r="43" spans="1:11" ht="34.5" customHeight="1">
      <c r="A43" s="374"/>
      <c r="B43" s="375"/>
      <c r="C43" s="391" t="s">
        <v>492</v>
      </c>
      <c r="D43" s="788">
        <v>0</v>
      </c>
      <c r="E43" s="788">
        <v>377500</v>
      </c>
      <c r="F43" s="787">
        <v>99622500</v>
      </c>
      <c r="G43" s="772">
        <f t="shared" si="3"/>
        <v>100000000</v>
      </c>
      <c r="H43" s="302">
        <f>+IF(D43&gt;G43,D43,G43)</f>
        <v>100000000</v>
      </c>
      <c r="I43" s="407">
        <f t="shared" si="0"/>
        <v>100000000</v>
      </c>
      <c r="J43" s="759"/>
      <c r="K43" s="390"/>
    </row>
    <row r="44" spans="1:10" ht="34.5" customHeight="1">
      <c r="A44" s="374"/>
      <c r="B44" s="375"/>
      <c r="C44" s="391" t="s">
        <v>493</v>
      </c>
      <c r="D44" s="788">
        <v>0</v>
      </c>
      <c r="E44" s="788">
        <f>170761565+12980000</f>
        <v>183741565</v>
      </c>
      <c r="F44" s="787">
        <v>216258435</v>
      </c>
      <c r="G44" s="772">
        <f t="shared" si="3"/>
        <v>400000000</v>
      </c>
      <c r="H44" s="302">
        <f>+IF(D44&gt;G44,D44,G44)</f>
        <v>400000000</v>
      </c>
      <c r="I44" s="407">
        <f t="shared" si="0"/>
        <v>400000000</v>
      </c>
      <c r="J44" s="759"/>
    </row>
    <row r="45" spans="1:10" ht="34.5" customHeight="1">
      <c r="A45" s="374"/>
      <c r="B45" s="394" t="s">
        <v>494</v>
      </c>
      <c r="C45" s="391"/>
      <c r="D45" s="787">
        <f>SUM(D46:D54)</f>
        <v>0</v>
      </c>
      <c r="E45" s="787">
        <f>SUM(E46:E54)</f>
        <v>99137500</v>
      </c>
      <c r="F45" s="787">
        <f>SUM(F46:F54)</f>
        <v>594172500</v>
      </c>
      <c r="G45" s="772">
        <f>SUM(G46:G54)</f>
        <v>693310000</v>
      </c>
      <c r="H45" s="302">
        <f>SUM(H46:H54)</f>
        <v>693310000</v>
      </c>
      <c r="I45" s="407">
        <f t="shared" si="0"/>
        <v>693310000</v>
      </c>
      <c r="J45" s="758"/>
    </row>
    <row r="46" spans="1:11" ht="34.5" customHeight="1">
      <c r="A46" s="374"/>
      <c r="B46" s="375"/>
      <c r="C46" s="391" t="s">
        <v>495</v>
      </c>
      <c r="D46" s="788">
        <v>0</v>
      </c>
      <c r="E46" s="788">
        <v>5827500</v>
      </c>
      <c r="F46" s="787">
        <v>194172500</v>
      </c>
      <c r="G46" s="772">
        <f aca="true" t="shared" si="4" ref="G46:G54">E46+F46</f>
        <v>200000000</v>
      </c>
      <c r="H46" s="302">
        <f>+IF(D46&gt;G46,D46,G46)</f>
        <v>200000000</v>
      </c>
      <c r="I46" s="407">
        <f t="shared" si="0"/>
        <v>200000000</v>
      </c>
      <c r="J46" s="758"/>
      <c r="K46" s="390"/>
    </row>
    <row r="47" spans="1:10" ht="34.5" customHeight="1">
      <c r="A47" s="374"/>
      <c r="B47" s="375"/>
      <c r="C47" s="409" t="s">
        <v>497</v>
      </c>
      <c r="D47" s="788">
        <v>0</v>
      </c>
      <c r="E47" s="788">
        <v>0</v>
      </c>
      <c r="F47" s="788">
        <v>0</v>
      </c>
      <c r="G47" s="772">
        <f t="shared" si="4"/>
        <v>0</v>
      </c>
      <c r="H47" s="302">
        <f>+IF(D47&gt;G47,D47,G47)</f>
        <v>0</v>
      </c>
      <c r="I47" s="946">
        <f t="shared" si="0"/>
        <v>0</v>
      </c>
      <c r="J47" s="760"/>
    </row>
    <row r="48" spans="1:11" ht="34.5" customHeight="1">
      <c r="A48" s="374"/>
      <c r="B48" s="375"/>
      <c r="C48" s="376" t="s">
        <v>498</v>
      </c>
      <c r="D48" s="788">
        <v>0</v>
      </c>
      <c r="E48" s="788">
        <v>0</v>
      </c>
      <c r="F48" s="787">
        <v>0</v>
      </c>
      <c r="G48" s="772">
        <f t="shared" si="4"/>
        <v>0</v>
      </c>
      <c r="H48" s="302">
        <f>+IF(D48&gt;G48,D48,G48)</f>
        <v>0</v>
      </c>
      <c r="I48" s="387">
        <f t="shared" si="0"/>
        <v>0</v>
      </c>
      <c r="J48" s="754"/>
      <c r="K48" s="386"/>
    </row>
    <row r="49" spans="1:13" s="817" customFormat="1" ht="34.5" customHeight="1">
      <c r="A49" s="374"/>
      <c r="B49" s="375"/>
      <c r="C49" s="945" t="s">
        <v>1207</v>
      </c>
      <c r="D49" s="940">
        <v>0</v>
      </c>
      <c r="E49" s="940">
        <v>0</v>
      </c>
      <c r="F49" s="787">
        <v>0</v>
      </c>
      <c r="G49" s="941">
        <f t="shared" si="4"/>
        <v>0</v>
      </c>
      <c r="H49" s="942">
        <f>+IF(D49&gt;G49,D49,G49)</f>
        <v>0</v>
      </c>
      <c r="I49" s="946">
        <f t="shared" si="0"/>
        <v>0</v>
      </c>
      <c r="J49" s="943"/>
      <c r="K49" s="386"/>
      <c r="L49" s="819"/>
      <c r="M49" s="819"/>
    </row>
    <row r="50" spans="1:13" s="817" customFormat="1" ht="34.5" customHeight="1">
      <c r="A50" s="374"/>
      <c r="B50" s="375"/>
      <c r="C50" s="436" t="s">
        <v>1206</v>
      </c>
      <c r="D50" s="940">
        <v>0</v>
      </c>
      <c r="E50" s="940">
        <v>0</v>
      </c>
      <c r="F50" s="787">
        <v>0</v>
      </c>
      <c r="G50" s="941">
        <f t="shared" si="4"/>
        <v>0</v>
      </c>
      <c r="H50" s="942">
        <f>+IF(D50&gt;G50,D50,G50)</f>
        <v>0</v>
      </c>
      <c r="I50" s="439">
        <f t="shared" si="0"/>
        <v>0</v>
      </c>
      <c r="J50" s="943"/>
      <c r="K50" s="386"/>
      <c r="L50" s="819"/>
      <c r="M50" s="819"/>
    </row>
    <row r="51" spans="1:10" ht="34.5" customHeight="1">
      <c r="A51" s="395"/>
      <c r="B51" s="396"/>
      <c r="C51" s="397" t="s">
        <v>499</v>
      </c>
      <c r="D51" s="765">
        <v>0</v>
      </c>
      <c r="E51" s="765">
        <v>0</v>
      </c>
      <c r="F51" s="788">
        <v>0</v>
      </c>
      <c r="G51" s="430">
        <f t="shared" si="4"/>
        <v>0</v>
      </c>
      <c r="H51" s="413">
        <f>+IF(D51&gt;G51,D51,G51)</f>
        <v>0</v>
      </c>
      <c r="I51" s="398">
        <f t="shared" si="0"/>
        <v>0</v>
      </c>
      <c r="J51" s="399"/>
    </row>
    <row r="52" spans="1:11" ht="34.5" customHeight="1">
      <c r="A52" s="374"/>
      <c r="B52" s="375"/>
      <c r="C52" s="376" t="s">
        <v>501</v>
      </c>
      <c r="D52" s="786">
        <v>0</v>
      </c>
      <c r="E52" s="790">
        <f>15395000+77915000</f>
        <v>93310000</v>
      </c>
      <c r="F52" s="768">
        <v>300000000</v>
      </c>
      <c r="G52" s="378">
        <f t="shared" si="4"/>
        <v>393310000</v>
      </c>
      <c r="H52" s="402">
        <f>+IF(D52&gt;G52,D52,G52)</f>
        <v>393310000</v>
      </c>
      <c r="I52" s="387">
        <f t="shared" si="0"/>
        <v>393310000</v>
      </c>
      <c r="J52" s="754"/>
      <c r="K52" s="390"/>
    </row>
    <row r="53" spans="1:11" ht="34.5" customHeight="1">
      <c r="A53" s="374"/>
      <c r="B53" s="375"/>
      <c r="C53" s="376" t="s">
        <v>503</v>
      </c>
      <c r="D53" s="788">
        <v>0</v>
      </c>
      <c r="E53" s="788">
        <v>0</v>
      </c>
      <c r="F53" s="788">
        <v>0</v>
      </c>
      <c r="G53" s="772">
        <f t="shared" si="4"/>
        <v>0</v>
      </c>
      <c r="H53" s="302">
        <f>+IF(D53&gt;G53,D53,G53)</f>
        <v>0</v>
      </c>
      <c r="I53" s="387">
        <f t="shared" si="0"/>
        <v>0</v>
      </c>
      <c r="J53" s="754"/>
      <c r="K53" s="390"/>
    </row>
    <row r="54" spans="1:10" ht="34.5" customHeight="1">
      <c r="A54" s="374"/>
      <c r="B54" s="375"/>
      <c r="C54" s="391" t="s">
        <v>504</v>
      </c>
      <c r="D54" s="788">
        <v>0</v>
      </c>
      <c r="E54" s="788">
        <v>0</v>
      </c>
      <c r="F54" s="787">
        <v>100000000</v>
      </c>
      <c r="G54" s="772">
        <f t="shared" si="4"/>
        <v>100000000</v>
      </c>
      <c r="H54" s="302">
        <f>+IF(D54&gt;G54,D54,G54)</f>
        <v>100000000</v>
      </c>
      <c r="I54" s="407">
        <f t="shared" si="0"/>
        <v>100000000</v>
      </c>
      <c r="J54" s="758"/>
    </row>
    <row r="55" spans="1:10" ht="34.5" customHeight="1">
      <c r="A55" s="374"/>
      <c r="B55" s="394" t="s">
        <v>505</v>
      </c>
      <c r="C55" s="391"/>
      <c r="D55" s="787">
        <f>SUM(D56:D61)</f>
        <v>0</v>
      </c>
      <c r="E55" s="787">
        <f>SUM(E56:E61)</f>
        <v>0</v>
      </c>
      <c r="F55" s="787">
        <f>SUM(F56:F61)</f>
        <v>2700000000</v>
      </c>
      <c r="G55" s="772">
        <f>SUM(G56:G61)</f>
        <v>2700000000</v>
      </c>
      <c r="H55" s="302">
        <f>SUM(H56:H61)</f>
        <v>2700000000</v>
      </c>
      <c r="I55" s="407">
        <f t="shared" si="0"/>
        <v>2700000000</v>
      </c>
      <c r="J55" s="758"/>
    </row>
    <row r="56" spans="1:11" ht="34.5" customHeight="1">
      <c r="A56" s="374"/>
      <c r="B56" s="375"/>
      <c r="C56" s="391" t="s">
        <v>506</v>
      </c>
      <c r="D56" s="786">
        <v>0</v>
      </c>
      <c r="E56" s="786">
        <v>0</v>
      </c>
      <c r="F56" s="787">
        <v>1000000000</v>
      </c>
      <c r="G56" s="772">
        <f aca="true" t="shared" si="5" ref="G56:G61">E56+F56</f>
        <v>1000000000</v>
      </c>
      <c r="H56" s="302">
        <f aca="true" t="shared" si="6" ref="H56:H61">+IF(D56&gt;G56,D56,G56)</f>
        <v>1000000000</v>
      </c>
      <c r="I56" s="407">
        <f>+H56-D56</f>
        <v>1000000000</v>
      </c>
      <c r="J56" s="760"/>
      <c r="K56" s="390"/>
    </row>
    <row r="57" spans="1:11" ht="34.5" customHeight="1">
      <c r="A57" s="374"/>
      <c r="B57" s="375"/>
      <c r="C57" s="409" t="s">
        <v>505</v>
      </c>
      <c r="D57" s="786">
        <v>0</v>
      </c>
      <c r="E57" s="786">
        <v>0</v>
      </c>
      <c r="F57" s="787">
        <v>1000000000</v>
      </c>
      <c r="G57" s="772">
        <f t="shared" si="5"/>
        <v>1000000000</v>
      </c>
      <c r="H57" s="302">
        <f t="shared" si="6"/>
        <v>1000000000</v>
      </c>
      <c r="I57" s="410">
        <f t="shared" si="0"/>
        <v>1000000000</v>
      </c>
      <c r="J57" s="414"/>
      <c r="K57" s="390"/>
    </row>
    <row r="58" spans="1:11" ht="34.5" customHeight="1">
      <c r="A58" s="374"/>
      <c r="B58" s="375"/>
      <c r="C58" s="391" t="s">
        <v>487</v>
      </c>
      <c r="D58" s="786">
        <v>0</v>
      </c>
      <c r="E58" s="786">
        <v>0</v>
      </c>
      <c r="F58" s="787">
        <v>500000000</v>
      </c>
      <c r="G58" s="772">
        <f t="shared" si="5"/>
        <v>500000000</v>
      </c>
      <c r="H58" s="302">
        <f t="shared" si="6"/>
        <v>500000000</v>
      </c>
      <c r="I58" s="407">
        <f>H58-D58</f>
        <v>500000000</v>
      </c>
      <c r="J58" s="758"/>
      <c r="K58" s="390"/>
    </row>
    <row r="59" spans="1:11" ht="34.5" customHeight="1">
      <c r="A59" s="374"/>
      <c r="B59" s="375"/>
      <c r="C59" s="415" t="s">
        <v>207</v>
      </c>
      <c r="D59" s="786">
        <v>0</v>
      </c>
      <c r="E59" s="786">
        <v>0</v>
      </c>
      <c r="F59" s="787">
        <v>200000000</v>
      </c>
      <c r="G59" s="772">
        <f t="shared" si="5"/>
        <v>200000000</v>
      </c>
      <c r="H59" s="302">
        <f t="shared" si="6"/>
        <v>200000000</v>
      </c>
      <c r="I59" s="407">
        <f>H59-D59</f>
        <v>200000000</v>
      </c>
      <c r="J59" s="416"/>
      <c r="K59" s="390"/>
    </row>
    <row r="60" spans="1:11" ht="34.5" customHeight="1">
      <c r="A60" s="374"/>
      <c r="B60" s="375"/>
      <c r="C60" s="409" t="s">
        <v>886</v>
      </c>
      <c r="D60" s="786">
        <v>0</v>
      </c>
      <c r="E60" s="786">
        <v>0</v>
      </c>
      <c r="F60" s="786">
        <v>0</v>
      </c>
      <c r="G60" s="772">
        <f t="shared" si="5"/>
        <v>0</v>
      </c>
      <c r="H60" s="302">
        <f t="shared" si="6"/>
        <v>0</v>
      </c>
      <c r="I60" s="410">
        <f t="shared" si="0"/>
        <v>0</v>
      </c>
      <c r="J60" s="416"/>
      <c r="K60" s="390"/>
    </row>
    <row r="61" spans="1:11" ht="34.5" customHeight="1">
      <c r="A61" s="374"/>
      <c r="B61" s="375"/>
      <c r="C61" s="409" t="s">
        <v>887</v>
      </c>
      <c r="D61" s="786">
        <v>0</v>
      </c>
      <c r="E61" s="786">
        <v>0</v>
      </c>
      <c r="F61" s="786">
        <v>0</v>
      </c>
      <c r="G61" s="772">
        <f t="shared" si="5"/>
        <v>0</v>
      </c>
      <c r="H61" s="302">
        <f t="shared" si="6"/>
        <v>0</v>
      </c>
      <c r="I61" s="410">
        <f t="shared" si="0"/>
        <v>0</v>
      </c>
      <c r="J61" s="416"/>
      <c r="K61" s="390"/>
    </row>
    <row r="62" spans="1:10" ht="34.5" customHeight="1">
      <c r="A62" s="366" t="s">
        <v>888</v>
      </c>
      <c r="B62" s="367"/>
      <c r="C62" s="368"/>
      <c r="D62" s="369">
        <f>D63</f>
        <v>0</v>
      </c>
      <c r="E62" s="369">
        <f>E63</f>
        <v>0</v>
      </c>
      <c r="F62" s="369">
        <f>F63</f>
        <v>0</v>
      </c>
      <c r="G62" s="370">
        <f>G63</f>
        <v>0</v>
      </c>
      <c r="H62" s="371">
        <f>H63</f>
        <v>0</v>
      </c>
      <c r="I62" s="400">
        <f t="shared" si="0"/>
        <v>0</v>
      </c>
      <c r="J62" s="373"/>
    </row>
    <row r="63" spans="1:10" ht="34.5" customHeight="1">
      <c r="A63" s="374"/>
      <c r="B63" s="375" t="s">
        <v>889</v>
      </c>
      <c r="C63" s="376"/>
      <c r="D63" s="401">
        <f>SUM(D64)</f>
        <v>0</v>
      </c>
      <c r="E63" s="401">
        <f>SUM(E64)</f>
        <v>0</v>
      </c>
      <c r="F63" s="401">
        <f>SUM(F64)</f>
        <v>0</v>
      </c>
      <c r="G63" s="378">
        <f>SUM(E63:F63)</f>
        <v>0</v>
      </c>
      <c r="H63" s="402">
        <f>SUM(H64)</f>
        <v>0</v>
      </c>
      <c r="I63" s="387">
        <f t="shared" si="0"/>
        <v>0</v>
      </c>
      <c r="J63" s="754"/>
    </row>
    <row r="64" spans="1:10" ht="34.5" customHeight="1">
      <c r="A64" s="395"/>
      <c r="B64" s="396"/>
      <c r="C64" s="417" t="s">
        <v>889</v>
      </c>
      <c r="D64" s="789">
        <v>0</v>
      </c>
      <c r="E64" s="789">
        <v>0</v>
      </c>
      <c r="F64" s="787">
        <v>0</v>
      </c>
      <c r="G64" s="772">
        <f>E64+F64</f>
        <v>0</v>
      </c>
      <c r="H64" s="302">
        <f>+G64</f>
        <v>0</v>
      </c>
      <c r="I64" s="398">
        <f t="shared" si="0"/>
        <v>0</v>
      </c>
      <c r="J64" s="419"/>
    </row>
    <row r="65" spans="1:10" ht="34.5" customHeight="1">
      <c r="A65" s="366" t="s">
        <v>513</v>
      </c>
      <c r="B65" s="367"/>
      <c r="C65" s="368"/>
      <c r="D65" s="369">
        <f>D66+D68</f>
        <v>3000000000</v>
      </c>
      <c r="E65" s="369">
        <f>E66+E68</f>
        <v>0</v>
      </c>
      <c r="F65" s="369">
        <f>F66+F68</f>
        <v>1000000000</v>
      </c>
      <c r="G65" s="370">
        <f>G66+G68</f>
        <v>1000000000</v>
      </c>
      <c r="H65" s="371">
        <f>H66+H68</f>
        <v>1000000000</v>
      </c>
      <c r="I65" s="400">
        <f t="shared" si="0"/>
        <v>-2000000000</v>
      </c>
      <c r="J65" s="373"/>
    </row>
    <row r="66" spans="1:10" ht="34.5" customHeight="1">
      <c r="A66" s="374"/>
      <c r="B66" s="375" t="s">
        <v>514</v>
      </c>
      <c r="C66" s="376"/>
      <c r="D66" s="401">
        <f>SUM(D67)</f>
        <v>3000000000</v>
      </c>
      <c r="E66" s="401">
        <f>SUM(E67)</f>
        <v>0</v>
      </c>
      <c r="F66" s="401">
        <f>SUM(F67)</f>
        <v>1000000000</v>
      </c>
      <c r="G66" s="378">
        <f>SUM(E66:F66)</f>
        <v>1000000000</v>
      </c>
      <c r="H66" s="402">
        <f>SUM(H67)</f>
        <v>1000000000</v>
      </c>
      <c r="I66" s="387">
        <f t="shared" si="0"/>
        <v>-2000000000</v>
      </c>
      <c r="J66" s="754"/>
    </row>
    <row r="67" spans="1:10" ht="34.5" customHeight="1">
      <c r="A67" s="374"/>
      <c r="B67" s="420"/>
      <c r="C67" s="376" t="s">
        <v>514</v>
      </c>
      <c r="D67" s="786">
        <v>3000000000</v>
      </c>
      <c r="E67" s="786">
        <v>0</v>
      </c>
      <c r="F67" s="786">
        <v>1000000000</v>
      </c>
      <c r="G67" s="772">
        <f>E67+F67</f>
        <v>1000000000</v>
      </c>
      <c r="H67" s="302">
        <f>+G67</f>
        <v>1000000000</v>
      </c>
      <c r="I67" s="407">
        <f t="shared" si="0"/>
        <v>-2000000000</v>
      </c>
      <c r="J67" s="754"/>
    </row>
    <row r="68" spans="1:10" ht="34.5" customHeight="1">
      <c r="A68" s="374"/>
      <c r="B68" s="421" t="s">
        <v>515</v>
      </c>
      <c r="C68" s="376"/>
      <c r="D68" s="401">
        <f>SUM(D69:D69)</f>
        <v>0</v>
      </c>
      <c r="E68" s="401">
        <f>SUM(E69:E69)</f>
        <v>0</v>
      </c>
      <c r="F68" s="401">
        <f>SUM(F69:F69)</f>
        <v>0</v>
      </c>
      <c r="G68" s="378">
        <f>SUM(G69:G69)</f>
        <v>0</v>
      </c>
      <c r="H68" s="402">
        <f>SUM(H69:H69)</f>
        <v>0</v>
      </c>
      <c r="I68" s="387">
        <f t="shared" si="0"/>
        <v>0</v>
      </c>
      <c r="J68" s="754"/>
    </row>
    <row r="69" spans="1:10" ht="34.5" customHeight="1">
      <c r="A69" s="374"/>
      <c r="B69" s="375"/>
      <c r="C69" s="376" t="s">
        <v>516</v>
      </c>
      <c r="D69" s="786">
        <v>0</v>
      </c>
      <c r="E69" s="786">
        <v>0</v>
      </c>
      <c r="F69" s="787">
        <v>0</v>
      </c>
      <c r="G69" s="772">
        <f>E69+F69</f>
        <v>0</v>
      </c>
      <c r="H69" s="302">
        <f>+IF(D69&gt;G69,D69,G69)</f>
        <v>0</v>
      </c>
      <c r="I69" s="407">
        <f t="shared" si="0"/>
        <v>0</v>
      </c>
      <c r="J69" s="754"/>
    </row>
    <row r="70" spans="1:10" ht="34.5" customHeight="1">
      <c r="A70" s="422" t="s">
        <v>891</v>
      </c>
      <c r="B70" s="367"/>
      <c r="C70" s="368"/>
      <c r="D70" s="369">
        <f aca="true" t="shared" si="7" ref="D70:H71">D71</f>
        <v>0</v>
      </c>
      <c r="E70" s="369">
        <f t="shared" si="7"/>
        <v>0</v>
      </c>
      <c r="F70" s="369">
        <f t="shared" si="7"/>
        <v>0</v>
      </c>
      <c r="G70" s="370">
        <f t="shared" si="7"/>
        <v>0</v>
      </c>
      <c r="H70" s="371">
        <f t="shared" si="7"/>
        <v>0</v>
      </c>
      <c r="I70" s="400">
        <f>H70-D70</f>
        <v>0</v>
      </c>
      <c r="J70" s="373"/>
    </row>
    <row r="71" spans="1:10" ht="34.5" customHeight="1">
      <c r="A71" s="423"/>
      <c r="B71" s="375" t="s">
        <v>892</v>
      </c>
      <c r="C71" s="376"/>
      <c r="D71" s="401">
        <f t="shared" si="7"/>
        <v>0</v>
      </c>
      <c r="E71" s="401">
        <f t="shared" si="7"/>
        <v>0</v>
      </c>
      <c r="F71" s="401">
        <f t="shared" si="7"/>
        <v>0</v>
      </c>
      <c r="G71" s="378">
        <f t="shared" si="7"/>
        <v>0</v>
      </c>
      <c r="H71" s="402">
        <f t="shared" si="7"/>
        <v>0</v>
      </c>
      <c r="I71" s="387">
        <f>H71-D71</f>
        <v>0</v>
      </c>
      <c r="J71" s="754"/>
    </row>
    <row r="72" spans="1:10" ht="34.5" customHeight="1">
      <c r="A72" s="423"/>
      <c r="B72" s="375"/>
      <c r="C72" s="376" t="s">
        <v>893</v>
      </c>
      <c r="D72" s="786">
        <v>0</v>
      </c>
      <c r="E72" s="786">
        <v>0</v>
      </c>
      <c r="F72" s="787">
        <v>0</v>
      </c>
      <c r="G72" s="772">
        <f>E72+F72</f>
        <v>0</v>
      </c>
      <c r="H72" s="302">
        <f>+G72</f>
        <v>0</v>
      </c>
      <c r="I72" s="407">
        <f>H72-D72</f>
        <v>0</v>
      </c>
      <c r="J72" s="758"/>
    </row>
    <row r="73" spans="1:10" ht="34.5" customHeight="1">
      <c r="A73" s="366" t="s">
        <v>521</v>
      </c>
      <c r="B73" s="367"/>
      <c r="C73" s="368"/>
      <c r="D73" s="369">
        <f>SUM(D74)</f>
        <v>0</v>
      </c>
      <c r="E73" s="369">
        <f>SUM(E74)</f>
        <v>0</v>
      </c>
      <c r="F73" s="369">
        <f>SUM(F74)</f>
        <v>0</v>
      </c>
      <c r="G73" s="370">
        <f>SUM(G74)</f>
        <v>0</v>
      </c>
      <c r="H73" s="371">
        <f>SUM(H74)</f>
        <v>0</v>
      </c>
      <c r="I73" s="400">
        <f t="shared" si="0"/>
        <v>0</v>
      </c>
      <c r="J73" s="373"/>
    </row>
    <row r="74" spans="1:10" ht="34.5" customHeight="1">
      <c r="A74" s="374"/>
      <c r="B74" s="375" t="s">
        <v>521</v>
      </c>
      <c r="C74" s="376"/>
      <c r="D74" s="401">
        <f>SUM(D75:D77)</f>
        <v>0</v>
      </c>
      <c r="E74" s="401">
        <f>SUM(E75:E77)</f>
        <v>0</v>
      </c>
      <c r="F74" s="401">
        <f>SUM(F75:F77)</f>
        <v>0</v>
      </c>
      <c r="G74" s="378">
        <f>SUM(G75:G77)</f>
        <v>0</v>
      </c>
      <c r="H74" s="402">
        <f>SUM(H75:H77)</f>
        <v>0</v>
      </c>
      <c r="I74" s="387">
        <f aca="true" t="shared" si="8" ref="I74:I109">H74-D74</f>
        <v>0</v>
      </c>
      <c r="J74" s="754"/>
    </row>
    <row r="75" spans="1:10" ht="35.25" customHeight="1">
      <c r="A75" s="374"/>
      <c r="B75" s="375"/>
      <c r="C75" s="415" t="s">
        <v>522</v>
      </c>
      <c r="D75" s="781">
        <v>0</v>
      </c>
      <c r="E75" s="781">
        <v>0</v>
      </c>
      <c r="F75" s="781">
        <v>0</v>
      </c>
      <c r="G75" s="772">
        <f>E75+F75</f>
        <v>0</v>
      </c>
      <c r="H75" s="302">
        <f>+IF(D75&gt;G75,D75,G75)</f>
        <v>0</v>
      </c>
      <c r="I75" s="424">
        <f t="shared" si="8"/>
        <v>0</v>
      </c>
      <c r="J75" s="425"/>
    </row>
    <row r="76" spans="1:10" ht="34.5" customHeight="1">
      <c r="A76" s="374"/>
      <c r="B76" s="375"/>
      <c r="C76" s="415" t="s">
        <v>524</v>
      </c>
      <c r="D76" s="781">
        <v>0</v>
      </c>
      <c r="E76" s="781">
        <v>0</v>
      </c>
      <c r="F76" s="781">
        <v>0</v>
      </c>
      <c r="G76" s="772">
        <f>E76+F76</f>
        <v>0</v>
      </c>
      <c r="H76" s="302">
        <f>+IF(D76&gt;G76,D76,G76)</f>
        <v>0</v>
      </c>
      <c r="I76" s="424">
        <f t="shared" si="8"/>
        <v>0</v>
      </c>
      <c r="J76" s="416"/>
    </row>
    <row r="77" spans="1:10" ht="36.75" customHeight="1">
      <c r="A77" s="395"/>
      <c r="B77" s="396"/>
      <c r="C77" s="397" t="s">
        <v>895</v>
      </c>
      <c r="D77" s="781">
        <v>0</v>
      </c>
      <c r="E77" s="781">
        <v>0</v>
      </c>
      <c r="F77" s="781">
        <v>0</v>
      </c>
      <c r="G77" s="772">
        <f>E77+F77</f>
        <v>0</v>
      </c>
      <c r="H77" s="302">
        <f>+G77</f>
        <v>0</v>
      </c>
      <c r="I77" s="398">
        <f t="shared" si="8"/>
        <v>0</v>
      </c>
      <c r="J77" s="426"/>
    </row>
    <row r="78" spans="1:10" ht="34.5" customHeight="1">
      <c r="A78" s="366" t="s">
        <v>526</v>
      </c>
      <c r="B78" s="367"/>
      <c r="C78" s="368"/>
      <c r="D78" s="369">
        <f aca="true" t="shared" si="9" ref="D78:H79">D79</f>
        <v>0</v>
      </c>
      <c r="E78" s="369">
        <f t="shared" si="9"/>
        <v>0</v>
      </c>
      <c r="F78" s="369">
        <f t="shared" si="9"/>
        <v>2000000000</v>
      </c>
      <c r="G78" s="370">
        <f t="shared" si="9"/>
        <v>2000000000</v>
      </c>
      <c r="H78" s="371">
        <f t="shared" si="9"/>
        <v>2000000000</v>
      </c>
      <c r="I78" s="400">
        <f t="shared" si="8"/>
        <v>2000000000</v>
      </c>
      <c r="J78" s="373"/>
    </row>
    <row r="79" spans="1:10" ht="34.5" customHeight="1">
      <c r="A79" s="374"/>
      <c r="B79" s="375" t="s">
        <v>526</v>
      </c>
      <c r="C79" s="376"/>
      <c r="D79" s="401">
        <f t="shared" si="9"/>
        <v>0</v>
      </c>
      <c r="E79" s="401">
        <f t="shared" si="9"/>
        <v>0</v>
      </c>
      <c r="F79" s="401">
        <f t="shared" si="9"/>
        <v>2000000000</v>
      </c>
      <c r="G79" s="378">
        <f t="shared" si="9"/>
        <v>2000000000</v>
      </c>
      <c r="H79" s="402">
        <f t="shared" si="9"/>
        <v>2000000000</v>
      </c>
      <c r="I79" s="387">
        <f t="shared" si="8"/>
        <v>2000000000</v>
      </c>
      <c r="J79" s="754"/>
    </row>
    <row r="80" spans="1:10" ht="34.5" customHeight="1">
      <c r="A80" s="395"/>
      <c r="B80" s="396"/>
      <c r="C80" s="397" t="s">
        <v>526</v>
      </c>
      <c r="D80" s="765">
        <v>0</v>
      </c>
      <c r="E80" s="765">
        <v>0</v>
      </c>
      <c r="F80" s="787">
        <v>2000000000</v>
      </c>
      <c r="G80" s="772">
        <f>E80+F80</f>
        <v>2000000000</v>
      </c>
      <c r="H80" s="302">
        <f>+IF(D80&gt;G80,D80,G80)</f>
        <v>2000000000</v>
      </c>
      <c r="I80" s="398">
        <f t="shared" si="8"/>
        <v>2000000000</v>
      </c>
      <c r="J80" s="427" t="s">
        <v>20</v>
      </c>
    </row>
    <row r="81" spans="1:10" ht="34.5" customHeight="1">
      <c r="A81" s="422" t="s">
        <v>527</v>
      </c>
      <c r="B81" s="367"/>
      <c r="C81" s="368"/>
      <c r="D81" s="369"/>
      <c r="E81" s="369">
        <f>E87+E82+E84</f>
        <v>-66773000000</v>
      </c>
      <c r="F81" s="369">
        <f>F87+F82+F84</f>
        <v>0</v>
      </c>
      <c r="G81" s="370">
        <f>G87+G82+G84</f>
        <v>-66773000000</v>
      </c>
      <c r="H81" s="371">
        <f>H87+H82+H84</f>
        <v>-66773000000</v>
      </c>
      <c r="I81" s="400">
        <f t="shared" si="8"/>
        <v>-66773000000</v>
      </c>
      <c r="J81" s="373"/>
    </row>
    <row r="82" spans="1:10" ht="34.5" customHeight="1">
      <c r="A82" s="423"/>
      <c r="B82" s="375" t="s">
        <v>528</v>
      </c>
      <c r="C82" s="376"/>
      <c r="D82" s="401">
        <f>D83</f>
        <v>0</v>
      </c>
      <c r="E82" s="401">
        <f>E83</f>
        <v>-66775000000</v>
      </c>
      <c r="F82" s="401"/>
      <c r="G82" s="378">
        <f>G83</f>
        <v>-66775000000</v>
      </c>
      <c r="H82" s="402">
        <f>H83</f>
        <v>-66775000000</v>
      </c>
      <c r="I82" s="387">
        <f t="shared" si="8"/>
        <v>-66775000000</v>
      </c>
      <c r="J82" s="754"/>
    </row>
    <row r="83" spans="1:10" ht="34.5" customHeight="1">
      <c r="A83" s="423"/>
      <c r="B83" s="375"/>
      <c r="C83" s="376" t="s">
        <v>897</v>
      </c>
      <c r="D83" s="786"/>
      <c r="E83" s="786">
        <v>-66775000000</v>
      </c>
      <c r="F83" s="787"/>
      <c r="G83" s="772">
        <f>E83+F83</f>
        <v>-66775000000</v>
      </c>
      <c r="H83" s="302">
        <f>+G83</f>
        <v>-66775000000</v>
      </c>
      <c r="I83" s="407">
        <f t="shared" si="8"/>
        <v>-66775000000</v>
      </c>
      <c r="J83" s="760"/>
    </row>
    <row r="84" spans="1:10" ht="34.5" customHeight="1">
      <c r="A84" s="423"/>
      <c r="B84" s="394" t="s">
        <v>529</v>
      </c>
      <c r="C84" s="376"/>
      <c r="D84" s="401">
        <f>SUM(D85:D86)</f>
        <v>0</v>
      </c>
      <c r="E84" s="401">
        <f>SUM(E85:E86)</f>
        <v>0</v>
      </c>
      <c r="F84" s="401">
        <f>SUM(F85:F86)</f>
        <v>0</v>
      </c>
      <c r="G84" s="772">
        <f>SUM(G85:G86)</f>
        <v>0</v>
      </c>
      <c r="H84" s="402">
        <f>SUM(H85:H86)</f>
        <v>0</v>
      </c>
      <c r="I84" s="428">
        <f t="shared" si="8"/>
        <v>0</v>
      </c>
      <c r="J84" s="758"/>
    </row>
    <row r="85" spans="1:10" ht="34.5" customHeight="1">
      <c r="A85" s="423"/>
      <c r="B85" s="375"/>
      <c r="C85" s="429" t="s">
        <v>530</v>
      </c>
      <c r="D85" s="401">
        <v>0</v>
      </c>
      <c r="E85" s="401">
        <v>0</v>
      </c>
      <c r="F85" s="787">
        <v>0</v>
      </c>
      <c r="G85" s="772">
        <f>E85+F85</f>
        <v>0</v>
      </c>
      <c r="H85" s="302">
        <f>+IF(D85&gt;G85,D85,G85)</f>
        <v>0</v>
      </c>
      <c r="I85" s="407">
        <f t="shared" si="8"/>
        <v>0</v>
      </c>
      <c r="J85" s="758"/>
    </row>
    <row r="86" spans="1:10" ht="34.5" customHeight="1">
      <c r="A86" s="423"/>
      <c r="B86" s="375"/>
      <c r="C86" s="376" t="s">
        <v>531</v>
      </c>
      <c r="D86" s="786">
        <v>0</v>
      </c>
      <c r="E86" s="786">
        <v>0</v>
      </c>
      <c r="F86" s="787">
        <v>0</v>
      </c>
      <c r="G86" s="772">
        <f>E86+F86</f>
        <v>0</v>
      </c>
      <c r="H86" s="302">
        <f>+IF(D86&gt;G86,D86,G86)</f>
        <v>0</v>
      </c>
      <c r="I86" s="407">
        <f t="shared" si="8"/>
        <v>0</v>
      </c>
      <c r="J86" s="758"/>
    </row>
    <row r="87" spans="1:10" ht="34.5" customHeight="1">
      <c r="A87" s="374"/>
      <c r="B87" s="394" t="s">
        <v>532</v>
      </c>
      <c r="C87" s="376"/>
      <c r="D87" s="401">
        <f>D88</f>
        <v>0</v>
      </c>
      <c r="E87" s="401">
        <f>E88</f>
        <v>2000000</v>
      </c>
      <c r="F87" s="401">
        <f>F88</f>
        <v>0</v>
      </c>
      <c r="G87" s="772">
        <f>G88</f>
        <v>2000000</v>
      </c>
      <c r="H87" s="402">
        <f>H88</f>
        <v>2000000</v>
      </c>
      <c r="I87" s="387">
        <f t="shared" si="8"/>
        <v>2000000</v>
      </c>
      <c r="J87" s="758"/>
    </row>
    <row r="88" spans="1:10" ht="34.5" customHeight="1">
      <c r="A88" s="395"/>
      <c r="B88" s="396"/>
      <c r="C88" s="417" t="s">
        <v>533</v>
      </c>
      <c r="D88" s="789">
        <v>0</v>
      </c>
      <c r="E88" s="789">
        <v>2000000</v>
      </c>
      <c r="F88" s="787">
        <v>0</v>
      </c>
      <c r="G88" s="772">
        <f>E88+F88</f>
        <v>2000000</v>
      </c>
      <c r="H88" s="302">
        <f>+IF(D88&gt;G88,D88,G88)</f>
        <v>2000000</v>
      </c>
      <c r="I88" s="398">
        <f t="shared" si="8"/>
        <v>2000000</v>
      </c>
      <c r="J88" s="399"/>
    </row>
    <row r="89" spans="1:10" ht="34.5" customHeight="1">
      <c r="A89" s="422" t="s">
        <v>898</v>
      </c>
      <c r="B89" s="367"/>
      <c r="C89" s="368"/>
      <c r="D89" s="369">
        <f>D90+D100</f>
        <v>280000000000</v>
      </c>
      <c r="E89" s="369">
        <f>E90+E100</f>
        <v>83524943199</v>
      </c>
      <c r="F89" s="369">
        <f>F90+F100</f>
        <v>86475056801</v>
      </c>
      <c r="G89" s="370">
        <f>G90+G100</f>
        <v>170000000000</v>
      </c>
      <c r="H89" s="371">
        <f>H90+H100</f>
        <v>170000000000</v>
      </c>
      <c r="I89" s="400">
        <f t="shared" si="8"/>
        <v>-110000000000</v>
      </c>
      <c r="J89" s="373"/>
    </row>
    <row r="90" spans="1:10" ht="34.5" customHeight="1">
      <c r="A90" s="374"/>
      <c r="B90" s="421" t="s">
        <v>535</v>
      </c>
      <c r="C90" s="376"/>
      <c r="D90" s="401">
        <f>SUM(D91:D99)</f>
        <v>280000000000</v>
      </c>
      <c r="E90" s="401">
        <f>SUM(E91:E99)</f>
        <v>83524943199</v>
      </c>
      <c r="F90" s="401">
        <f>SUM(F91:F99)</f>
        <v>86475056801</v>
      </c>
      <c r="G90" s="378">
        <f>SUM(G91:G99)</f>
        <v>170000000000</v>
      </c>
      <c r="H90" s="402">
        <f>SUM(H91:H99)</f>
        <v>170000000000</v>
      </c>
      <c r="I90" s="387">
        <f t="shared" si="8"/>
        <v>-110000000000</v>
      </c>
      <c r="J90" s="754"/>
    </row>
    <row r="91" spans="1:10" ht="34.5" customHeight="1">
      <c r="A91" s="374"/>
      <c r="B91" s="375"/>
      <c r="C91" s="409" t="s">
        <v>536</v>
      </c>
      <c r="D91" s="785">
        <v>0</v>
      </c>
      <c r="E91" s="785">
        <v>28194836</v>
      </c>
      <c r="F91" s="787">
        <v>71805164</v>
      </c>
      <c r="G91" s="772">
        <f aca="true" t="shared" si="10" ref="G91:G98">E91+F91</f>
        <v>100000000</v>
      </c>
      <c r="H91" s="302">
        <f>+IF(D91&gt;G91,D91,G91)</f>
        <v>100000000</v>
      </c>
      <c r="I91" s="407">
        <f t="shared" si="8"/>
        <v>100000000</v>
      </c>
      <c r="J91" s="323"/>
    </row>
    <row r="92" spans="1:11" ht="34.5" customHeight="1">
      <c r="A92" s="395"/>
      <c r="B92" s="396"/>
      <c r="C92" s="417" t="s">
        <v>537</v>
      </c>
      <c r="D92" s="789">
        <v>0</v>
      </c>
      <c r="E92" s="789">
        <f>58565863102-27887825</f>
        <v>58537975277</v>
      </c>
      <c r="F92" s="816">
        <f>29855570000+2144430000+14196361387-10000000000</f>
        <v>36196361387</v>
      </c>
      <c r="G92" s="430">
        <f t="shared" si="10"/>
        <v>94734336664</v>
      </c>
      <c r="H92" s="413">
        <f aca="true" t="shared" si="11" ref="H92:H98">+IF(D92&gt;G92,D92,G92)</f>
        <v>94734336664</v>
      </c>
      <c r="I92" s="398">
        <f t="shared" si="8"/>
        <v>94734336664</v>
      </c>
      <c r="J92" s="431"/>
      <c r="K92" s="432"/>
    </row>
    <row r="93" spans="1:10" ht="34.5" customHeight="1">
      <c r="A93" s="374"/>
      <c r="B93" s="375"/>
      <c r="C93" s="376" t="s">
        <v>538</v>
      </c>
      <c r="D93" s="786">
        <v>0</v>
      </c>
      <c r="E93" s="786">
        <f>8388486230-8197801000-111672000</f>
        <v>79013230</v>
      </c>
      <c r="F93" s="786">
        <v>1000000000</v>
      </c>
      <c r="G93" s="378">
        <f t="shared" si="10"/>
        <v>1079013230</v>
      </c>
      <c r="H93" s="402">
        <f t="shared" si="11"/>
        <v>1079013230</v>
      </c>
      <c r="I93" s="387">
        <f t="shared" si="8"/>
        <v>1079013230</v>
      </c>
      <c r="J93" s="754"/>
    </row>
    <row r="94" spans="1:11" ht="39.75" customHeight="1">
      <c r="A94" s="374"/>
      <c r="B94" s="375"/>
      <c r="C94" s="376" t="s">
        <v>901</v>
      </c>
      <c r="D94" s="786">
        <v>150000000000</v>
      </c>
      <c r="E94" s="786">
        <v>4793109750</v>
      </c>
      <c r="F94" s="787">
        <f>95206890250-50000000000</f>
        <v>45206890250</v>
      </c>
      <c r="G94" s="772">
        <f>E94+F94</f>
        <v>50000000000</v>
      </c>
      <c r="H94" s="402">
        <f>+G94</f>
        <v>50000000000</v>
      </c>
      <c r="I94" s="407">
        <f>H94-D94</f>
        <v>-100000000000</v>
      </c>
      <c r="J94" s="759"/>
      <c r="K94" s="390"/>
    </row>
    <row r="95" spans="1:11" ht="34.5" customHeight="1">
      <c r="A95" s="374"/>
      <c r="B95" s="375"/>
      <c r="C95" s="409" t="s">
        <v>540</v>
      </c>
      <c r="D95" s="785">
        <v>0</v>
      </c>
      <c r="E95" s="785">
        <v>19883371898</v>
      </c>
      <c r="F95" s="787">
        <v>2000000000</v>
      </c>
      <c r="G95" s="772">
        <f t="shared" si="10"/>
        <v>21883371898</v>
      </c>
      <c r="H95" s="302">
        <f t="shared" si="11"/>
        <v>21883371898</v>
      </c>
      <c r="I95" s="407">
        <f t="shared" si="8"/>
        <v>21883371898</v>
      </c>
      <c r="J95" s="433"/>
      <c r="K95" s="390"/>
    </row>
    <row r="96" spans="1:10" ht="34.5" customHeight="1">
      <c r="A96" s="374"/>
      <c r="B96" s="375"/>
      <c r="C96" s="376" t="s">
        <v>541</v>
      </c>
      <c r="D96" s="786">
        <v>0</v>
      </c>
      <c r="E96" s="786">
        <v>203278208</v>
      </c>
      <c r="F96" s="787">
        <v>500000000</v>
      </c>
      <c r="G96" s="772">
        <f t="shared" si="10"/>
        <v>703278208</v>
      </c>
      <c r="H96" s="302">
        <f t="shared" si="11"/>
        <v>703278208</v>
      </c>
      <c r="I96" s="407">
        <f t="shared" si="8"/>
        <v>703278208</v>
      </c>
      <c r="J96" s="759"/>
    </row>
    <row r="97" spans="1:10" ht="34.5" customHeight="1">
      <c r="A97" s="374"/>
      <c r="B97" s="375"/>
      <c r="C97" s="376" t="s">
        <v>903</v>
      </c>
      <c r="D97" s="790">
        <v>0</v>
      </c>
      <c r="E97" s="790">
        <v>0</v>
      </c>
      <c r="F97" s="787">
        <v>1000000000</v>
      </c>
      <c r="G97" s="772">
        <f t="shared" si="10"/>
        <v>1000000000</v>
      </c>
      <c r="H97" s="302">
        <f t="shared" si="11"/>
        <v>1000000000</v>
      </c>
      <c r="I97" s="407">
        <f t="shared" si="8"/>
        <v>1000000000</v>
      </c>
      <c r="J97" s="759"/>
    </row>
    <row r="98" spans="1:11" ht="34.5" customHeight="1">
      <c r="A98" s="374"/>
      <c r="B98" s="375"/>
      <c r="C98" s="391" t="s">
        <v>904</v>
      </c>
      <c r="D98" s="788">
        <v>0</v>
      </c>
      <c r="E98" s="788">
        <v>0</v>
      </c>
      <c r="F98" s="787">
        <v>500000000</v>
      </c>
      <c r="G98" s="772">
        <f t="shared" si="10"/>
        <v>500000000</v>
      </c>
      <c r="H98" s="302">
        <f t="shared" si="11"/>
        <v>500000000</v>
      </c>
      <c r="I98" s="407">
        <f t="shared" si="8"/>
        <v>500000000</v>
      </c>
      <c r="J98" s="758"/>
      <c r="K98" s="386"/>
    </row>
    <row r="99" spans="1:10" ht="37.5" customHeight="1">
      <c r="A99" s="374"/>
      <c r="B99" s="420"/>
      <c r="C99" s="391" t="s">
        <v>545</v>
      </c>
      <c r="D99" s="788">
        <v>130000000000</v>
      </c>
      <c r="E99" s="805">
        <v>0</v>
      </c>
      <c r="F99" s="787">
        <v>0</v>
      </c>
      <c r="G99" s="772">
        <f>E99+F99</f>
        <v>0</v>
      </c>
      <c r="H99" s="302">
        <v>0</v>
      </c>
      <c r="I99" s="387">
        <f>H99-D99</f>
        <v>-130000000000</v>
      </c>
      <c r="J99" s="760"/>
    </row>
    <row r="100" spans="1:10" ht="34.5" customHeight="1">
      <c r="A100" s="435"/>
      <c r="B100" s="421" t="s">
        <v>546</v>
      </c>
      <c r="C100" s="436"/>
      <c r="D100" s="437">
        <f>SUM(D101)</f>
        <v>0</v>
      </c>
      <c r="E100" s="437">
        <f>SUM(E101)</f>
        <v>0</v>
      </c>
      <c r="F100" s="437">
        <f>SUM(F101)</f>
        <v>0</v>
      </c>
      <c r="G100" s="437">
        <f>SUM(G101)</f>
        <v>0</v>
      </c>
      <c r="H100" s="438">
        <f>H101</f>
        <v>0</v>
      </c>
      <c r="I100" s="439">
        <f t="shared" si="8"/>
        <v>0</v>
      </c>
      <c r="J100" s="754"/>
    </row>
    <row r="101" spans="1:10" ht="34.5" customHeight="1">
      <c r="A101" s="359"/>
      <c r="B101" s="343"/>
      <c r="C101" s="440" t="s">
        <v>547</v>
      </c>
      <c r="D101" s="441">
        <v>0</v>
      </c>
      <c r="E101" s="441">
        <v>0</v>
      </c>
      <c r="F101" s="787">
        <v>0</v>
      </c>
      <c r="G101" s="772">
        <v>0</v>
      </c>
      <c r="H101" s="302">
        <f>+IF(D101&gt;G101,D101,G101)</f>
        <v>0</v>
      </c>
      <c r="I101" s="442">
        <f t="shared" si="8"/>
        <v>0</v>
      </c>
      <c r="J101" s="399"/>
    </row>
    <row r="102" spans="1:10" ht="34.5" customHeight="1">
      <c r="A102" s="422" t="s">
        <v>548</v>
      </c>
      <c r="B102" s="367"/>
      <c r="C102" s="368"/>
      <c r="D102" s="369">
        <f>D103+D106</f>
        <v>0</v>
      </c>
      <c r="E102" s="369">
        <f>E103+E106</f>
        <v>0</v>
      </c>
      <c r="F102" s="369">
        <f>F103+F106</f>
        <v>0</v>
      </c>
      <c r="G102" s="370">
        <f>SUM(E102:F102)</f>
        <v>0</v>
      </c>
      <c r="H102" s="371">
        <f>H103+H106</f>
        <v>0</v>
      </c>
      <c r="I102" s="400">
        <f t="shared" si="8"/>
        <v>0</v>
      </c>
      <c r="J102" s="373"/>
    </row>
    <row r="103" spans="1:10" ht="34.5" customHeight="1">
      <c r="A103" s="423"/>
      <c r="B103" s="375" t="s">
        <v>549</v>
      </c>
      <c r="C103" s="376"/>
      <c r="D103" s="401">
        <f>SUM(D104:D105)</f>
        <v>0</v>
      </c>
      <c r="E103" s="401">
        <f>SUM(E104:E105)</f>
        <v>0</v>
      </c>
      <c r="F103" s="401">
        <f>SUM(F104:F105)</f>
        <v>0</v>
      </c>
      <c r="G103" s="378">
        <f>SUM(G104:G105)</f>
        <v>0</v>
      </c>
      <c r="H103" s="402">
        <f>SUM(H104:H105)</f>
        <v>0</v>
      </c>
      <c r="I103" s="387">
        <f t="shared" si="8"/>
        <v>0</v>
      </c>
      <c r="J103" s="754"/>
    </row>
    <row r="104" spans="1:10" ht="34.5" customHeight="1">
      <c r="A104" s="423"/>
      <c r="B104" s="375"/>
      <c r="C104" s="376" t="s">
        <v>549</v>
      </c>
      <c r="D104" s="401">
        <v>0</v>
      </c>
      <c r="E104" s="401">
        <v>0</v>
      </c>
      <c r="F104" s="787">
        <v>0</v>
      </c>
      <c r="G104" s="772">
        <v>0</v>
      </c>
      <c r="H104" s="302">
        <f>+IF(D104&gt;G104,D104,G104)</f>
        <v>0</v>
      </c>
      <c r="I104" s="387">
        <f t="shared" si="8"/>
        <v>0</v>
      </c>
      <c r="J104" s="758"/>
    </row>
    <row r="105" spans="1:10" ht="34.5" customHeight="1">
      <c r="A105" s="423"/>
      <c r="B105" s="375"/>
      <c r="C105" s="376" t="s">
        <v>550</v>
      </c>
      <c r="D105" s="786">
        <v>0</v>
      </c>
      <c r="E105" s="786">
        <v>0</v>
      </c>
      <c r="F105" s="787">
        <v>0</v>
      </c>
      <c r="G105" s="772">
        <v>0</v>
      </c>
      <c r="H105" s="302">
        <f>+IF(D105&gt;G105,D105,G105)</f>
        <v>0</v>
      </c>
      <c r="I105" s="407">
        <f t="shared" si="8"/>
        <v>0</v>
      </c>
      <c r="J105" s="758"/>
    </row>
    <row r="106" spans="1:10" ht="34.5" customHeight="1">
      <c r="A106" s="423"/>
      <c r="B106" s="394" t="s">
        <v>551</v>
      </c>
      <c r="C106" s="376"/>
      <c r="D106" s="401">
        <f>SUM(D107:D109)</f>
        <v>0</v>
      </c>
      <c r="E106" s="401">
        <f>SUM(E107:E109)</f>
        <v>0</v>
      </c>
      <c r="F106" s="401">
        <f>SUM(F107:F109)</f>
        <v>0</v>
      </c>
      <c r="G106" s="401">
        <f>SUM(G107:G109)</f>
        <v>0</v>
      </c>
      <c r="H106" s="402">
        <f>SUM(H107:H109)</f>
        <v>0</v>
      </c>
      <c r="I106" s="428">
        <f t="shared" si="8"/>
        <v>0</v>
      </c>
      <c r="J106" s="758"/>
    </row>
    <row r="107" spans="1:10" ht="34.5" customHeight="1">
      <c r="A107" s="423"/>
      <c r="B107" s="375"/>
      <c r="C107" s="429" t="s">
        <v>552</v>
      </c>
      <c r="D107" s="401">
        <v>0</v>
      </c>
      <c r="E107" s="401">
        <v>0</v>
      </c>
      <c r="F107" s="787">
        <v>0</v>
      </c>
      <c r="G107" s="772">
        <v>0</v>
      </c>
      <c r="H107" s="302">
        <f>+IF(D107&gt;G107,D107,G107)</f>
        <v>0</v>
      </c>
      <c r="I107" s="407">
        <f t="shared" si="8"/>
        <v>0</v>
      </c>
      <c r="J107" s="760"/>
    </row>
    <row r="108" spans="1:10" ht="34.5" customHeight="1">
      <c r="A108" s="423"/>
      <c r="B108" s="375"/>
      <c r="C108" s="429" t="s">
        <v>553</v>
      </c>
      <c r="D108" s="401">
        <v>0</v>
      </c>
      <c r="E108" s="401">
        <v>0</v>
      </c>
      <c r="F108" s="787">
        <v>0</v>
      </c>
      <c r="G108" s="772">
        <v>0</v>
      </c>
      <c r="H108" s="302">
        <f>+IF(D108&gt;G108,D108,G108)</f>
        <v>0</v>
      </c>
      <c r="I108" s="407">
        <f t="shared" si="8"/>
        <v>0</v>
      </c>
      <c r="J108" s="758"/>
    </row>
    <row r="109" spans="1:10" ht="34.5" customHeight="1">
      <c r="A109" s="292"/>
      <c r="B109" s="277"/>
      <c r="C109" s="443" t="s">
        <v>551</v>
      </c>
      <c r="D109" s="444">
        <v>0</v>
      </c>
      <c r="E109" s="444">
        <v>0</v>
      </c>
      <c r="F109" s="787">
        <v>0</v>
      </c>
      <c r="G109" s="772">
        <v>0</v>
      </c>
      <c r="H109" s="302">
        <f>+IF(D109&gt;G109,D109,G109)</f>
        <v>0</v>
      </c>
      <c r="I109" s="445">
        <f t="shared" si="8"/>
        <v>0</v>
      </c>
      <c r="J109" s="416"/>
    </row>
    <row r="110" spans="1:10" ht="34.5" customHeight="1">
      <c r="A110" s="422" t="s">
        <v>554</v>
      </c>
      <c r="B110" s="367"/>
      <c r="C110" s="368"/>
      <c r="D110" s="369">
        <v>-95707000000</v>
      </c>
      <c r="E110" s="369"/>
      <c r="F110" s="369"/>
      <c r="G110" s="369"/>
      <c r="H110" s="369">
        <f>+'20년 추경수입(의정부)'!H6-H7-H25-H62-H65-H70-H73-H78-H81-H89-H102</f>
        <v>5606542522</v>
      </c>
      <c r="I110" s="400">
        <f>H110-D110</f>
        <v>101313542522</v>
      </c>
      <c r="J110" s="373"/>
    </row>
    <row r="111" spans="1:10" ht="34.5" customHeight="1" hidden="1">
      <c r="A111" s="374"/>
      <c r="B111" s="375" t="s">
        <v>555</v>
      </c>
      <c r="C111" s="376"/>
      <c r="D111" s="369">
        <f>'[6]수입'!D6-D8-D26-D63-D66-D74-D79-D71-D82-D90-D103</f>
        <v>-75280000000</v>
      </c>
      <c r="E111" s="446"/>
      <c r="F111" s="446"/>
      <c r="G111" s="447">
        <f aca="true" t="shared" si="12" ref="G111:G118">SUM(F111:F111)</f>
        <v>0</v>
      </c>
      <c r="H111" s="446"/>
      <c r="I111" s="447"/>
      <c r="J111" s="754"/>
    </row>
    <row r="112" spans="1:10" ht="34.5" customHeight="1" hidden="1">
      <c r="A112" s="374"/>
      <c r="B112" s="375"/>
      <c r="C112" s="391" t="s">
        <v>556</v>
      </c>
      <c r="D112" s="369">
        <f>'[6]수입'!D7-D9-D27-D64-D67-D75-D80-D72-D83-D91-D104</f>
        <v>208720000000</v>
      </c>
      <c r="E112" s="448"/>
      <c r="F112" s="448"/>
      <c r="G112" s="449">
        <f t="shared" si="12"/>
        <v>0</v>
      </c>
      <c r="H112" s="448"/>
      <c r="I112" s="449"/>
      <c r="J112" s="758"/>
    </row>
    <row r="113" spans="1:10" ht="34.5" customHeight="1" hidden="1">
      <c r="A113" s="374"/>
      <c r="B113" s="375"/>
      <c r="C113" s="391" t="s">
        <v>557</v>
      </c>
      <c r="D113" s="369">
        <f>'[6]수입'!D8-D10-D28-D65-D68-D76-D81-D73-D84-D92-D105</f>
        <v>132030000000</v>
      </c>
      <c r="E113" s="448"/>
      <c r="F113" s="448"/>
      <c r="G113" s="449">
        <f t="shared" si="12"/>
        <v>0</v>
      </c>
      <c r="H113" s="448"/>
      <c r="I113" s="449"/>
      <c r="J113" s="758"/>
    </row>
    <row r="114" spans="1:10" ht="34.5" customHeight="1" hidden="1">
      <c r="A114" s="374"/>
      <c r="B114" s="394" t="s">
        <v>558</v>
      </c>
      <c r="C114" s="391"/>
      <c r="D114" s="369">
        <f>'[6]수입'!D9-D11-D29-D66-D69-D77-D82-D74-D85-D93-D106</f>
        <v>58940000000</v>
      </c>
      <c r="E114" s="448"/>
      <c r="F114" s="448"/>
      <c r="G114" s="449">
        <f t="shared" si="12"/>
        <v>0</v>
      </c>
      <c r="H114" s="448"/>
      <c r="I114" s="449"/>
      <c r="J114" s="758"/>
    </row>
    <row r="115" spans="1:10" ht="34.5" customHeight="1" hidden="1">
      <c r="A115" s="374"/>
      <c r="B115" s="375"/>
      <c r="C115" s="391" t="s">
        <v>559</v>
      </c>
      <c r="D115" s="369">
        <f>'[6]수입'!D10-D12-D30-D67-D70-D78-D83-D75-D86-D94-D107</f>
        <v>-142250000000</v>
      </c>
      <c r="E115" s="448"/>
      <c r="F115" s="448"/>
      <c r="G115" s="449">
        <f t="shared" si="12"/>
        <v>0</v>
      </c>
      <c r="H115" s="448"/>
      <c r="I115" s="449"/>
      <c r="J115" s="758"/>
    </row>
    <row r="116" spans="1:10" ht="34.5" customHeight="1" hidden="1">
      <c r="A116" s="374"/>
      <c r="B116" s="375"/>
      <c r="C116" s="391" t="s">
        <v>560</v>
      </c>
      <c r="D116" s="369">
        <f>'[6]수입'!D11-D13-D31-D68-D71-D79-D84-D76-D87-D95-D108</f>
        <v>2160000000</v>
      </c>
      <c r="E116" s="448"/>
      <c r="F116" s="448"/>
      <c r="G116" s="449">
        <f t="shared" si="12"/>
        <v>0</v>
      </c>
      <c r="H116" s="448"/>
      <c r="I116" s="449"/>
      <c r="J116" s="758"/>
    </row>
    <row r="117" spans="1:10" ht="34.5" customHeight="1" hidden="1">
      <c r="A117" s="374"/>
      <c r="B117" s="375"/>
      <c r="C117" s="391" t="s">
        <v>561</v>
      </c>
      <c r="D117" s="369">
        <f>'[6]수입'!D12-D14-D32-D69-D72-D80-D85-D77-D88-D96-D109</f>
        <v>0</v>
      </c>
      <c r="E117" s="448"/>
      <c r="F117" s="448"/>
      <c r="G117" s="449">
        <f t="shared" si="12"/>
        <v>0</v>
      </c>
      <c r="H117" s="448"/>
      <c r="I117" s="449"/>
      <c r="J117" s="758"/>
    </row>
    <row r="118" spans="1:10" ht="34.5" customHeight="1" hidden="1">
      <c r="A118" s="395"/>
      <c r="B118" s="396"/>
      <c r="C118" s="397" t="s">
        <v>562</v>
      </c>
      <c r="D118" s="369">
        <f>'[6]수입'!D13-D15-D33-D70-D73-D81-D86-D78-D89-D98-D110</f>
        <v>-184293000000</v>
      </c>
      <c r="E118" s="450"/>
      <c r="F118" s="450"/>
      <c r="G118" s="449">
        <f t="shared" si="12"/>
        <v>0</v>
      </c>
      <c r="H118" s="450"/>
      <c r="I118" s="451"/>
      <c r="J118" s="758"/>
    </row>
    <row r="119" spans="6:10" ht="34.5" customHeight="1">
      <c r="F119" s="601" t="s">
        <v>932</v>
      </c>
      <c r="J119" s="452"/>
    </row>
    <row r="120" spans="5:10" ht="34.5" customHeight="1">
      <c r="E120" s="453"/>
      <c r="G120" s="555"/>
      <c r="J120" s="452"/>
    </row>
    <row r="121" spans="5:10" ht="34.5" customHeight="1">
      <c r="E121" s="453"/>
      <c r="J121" s="452"/>
    </row>
    <row r="122" ht="34.5" customHeight="1"/>
    <row r="123" ht="34.5" customHeight="1">
      <c r="E123" s="453"/>
    </row>
    <row r="124" ht="34.5" customHeight="1">
      <c r="E124" s="454"/>
    </row>
  </sheetData>
  <sheetProtection/>
  <mergeCells count="7">
    <mergeCell ref="A1:J1"/>
    <mergeCell ref="D4:D5"/>
    <mergeCell ref="E4:E5"/>
    <mergeCell ref="F4:F5"/>
    <mergeCell ref="G4:G5"/>
    <mergeCell ref="H4:H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28"/>
  <sheetViews>
    <sheetView showGridLines="0" zoomScalePageLayoutView="0" workbookViewId="0" topLeftCell="A79">
      <selection activeCell="C11" sqref="C11"/>
    </sheetView>
  </sheetViews>
  <sheetFormatPr defaultColWidth="8.88671875" defaultRowHeight="13.5"/>
  <cols>
    <col min="1" max="1" width="19.5546875" style="608" bestFit="1" customWidth="1"/>
    <col min="2" max="2" width="18.10546875" style="608" bestFit="1" customWidth="1"/>
    <col min="3" max="3" width="18.3359375" style="611" bestFit="1" customWidth="1"/>
    <col min="4" max="5" width="18.3359375" style="608" bestFit="1" customWidth="1"/>
    <col min="6" max="6" width="13.10546875" style="608" customWidth="1"/>
    <col min="7" max="7" width="10.88671875" style="608" customWidth="1"/>
    <col min="8" max="8" width="7.10546875" style="608" customWidth="1"/>
    <col min="9" max="9" width="11.88671875" style="608" customWidth="1"/>
    <col min="10" max="10" width="14.21484375" style="608" hidden="1" customWidth="1"/>
    <col min="11" max="11" width="12.77734375" style="608" hidden="1" customWidth="1"/>
    <col min="12" max="12" width="12.99609375" style="609" hidden="1" customWidth="1"/>
    <col min="13" max="14" width="17.99609375" style="609" hidden="1" customWidth="1"/>
    <col min="15" max="15" width="7.77734375" style="609" hidden="1" customWidth="1"/>
    <col min="16" max="16" width="16.5546875" style="609" hidden="1" customWidth="1"/>
    <col min="17" max="17" width="15.3359375" style="608" hidden="1" customWidth="1"/>
    <col min="18" max="18" width="15.6640625" style="611" hidden="1" customWidth="1"/>
    <col min="19" max="19" width="18.5546875" style="608" hidden="1" customWidth="1"/>
    <col min="20" max="20" width="10.21484375" style="609" hidden="1" customWidth="1"/>
    <col min="21" max="21" width="11.3359375" style="608" customWidth="1"/>
    <col min="22" max="22" width="15.21484375" style="608" bestFit="1" customWidth="1"/>
    <col min="23" max="16384" width="8.88671875" style="608" customWidth="1"/>
  </cols>
  <sheetData>
    <row r="1" spans="1:18" ht="29.25" customHeight="1">
      <c r="A1" s="1010" t="s">
        <v>584</v>
      </c>
      <c r="B1" s="1010"/>
      <c r="C1" s="1010"/>
      <c r="D1" s="1010"/>
      <c r="E1" s="1010"/>
      <c r="F1" s="1010"/>
      <c r="G1" s="1010"/>
      <c r="H1" s="1010"/>
      <c r="I1" s="1010"/>
      <c r="J1" s="604"/>
      <c r="K1" s="605"/>
      <c r="L1" s="606"/>
      <c r="M1" s="606"/>
      <c r="N1" s="606"/>
      <c r="O1" s="606"/>
      <c r="P1" s="606"/>
      <c r="Q1" s="605"/>
      <c r="R1" s="607"/>
    </row>
    <row r="2" spans="1:10" ht="16.5" customHeight="1">
      <c r="A2" s="1011" t="s">
        <v>586</v>
      </c>
      <c r="B2" s="1011"/>
      <c r="C2" s="1011"/>
      <c r="D2" s="1011"/>
      <c r="E2" s="1011"/>
      <c r="F2" s="1011"/>
      <c r="G2" s="1011"/>
      <c r="H2" s="1011"/>
      <c r="I2" s="1011"/>
      <c r="J2" s="610"/>
    </row>
    <row r="3" spans="1:5" ht="19.5" customHeight="1">
      <c r="A3" s="492" t="s">
        <v>587</v>
      </c>
      <c r="B3" s="493"/>
      <c r="C3" s="612"/>
      <c r="D3" s="493"/>
      <c r="E3" s="493"/>
    </row>
    <row r="4" spans="1:16" ht="19.5" customHeight="1">
      <c r="A4" s="613" t="s">
        <v>588</v>
      </c>
      <c r="B4" s="614"/>
      <c r="C4" s="612"/>
      <c r="D4" s="615"/>
      <c r="E4" s="616"/>
      <c r="I4" s="617" t="s">
        <v>589</v>
      </c>
      <c r="J4" s="617"/>
      <c r="P4" s="618"/>
    </row>
    <row r="5" spans="1:20" s="601" customFormat="1" ht="15.75" customHeight="1">
      <c r="A5" s="494" t="s">
        <v>590</v>
      </c>
      <c r="B5" s="495" t="s">
        <v>591</v>
      </c>
      <c r="C5" s="1076" t="str">
        <f>+'[8]총괄표'!C4</f>
        <v>2020년 예산</v>
      </c>
      <c r="D5" s="1078" t="str">
        <f>+'[8]총괄표'!D4</f>
        <v>2019년 예산</v>
      </c>
      <c r="E5" s="1078" t="s">
        <v>592</v>
      </c>
      <c r="F5" s="1014" t="s">
        <v>1</v>
      </c>
      <c r="G5" s="1014"/>
      <c r="H5" s="1014"/>
      <c r="I5" s="1015"/>
      <c r="J5" s="619"/>
      <c r="L5" s="620"/>
      <c r="M5" s="620"/>
      <c r="N5" s="620"/>
      <c r="O5" s="620"/>
      <c r="P5" s="620"/>
      <c r="R5" s="603"/>
      <c r="T5" s="620"/>
    </row>
    <row r="6" spans="1:20" s="601" customFormat="1" ht="15.75" customHeight="1">
      <c r="A6" s="496" t="s">
        <v>2</v>
      </c>
      <c r="B6" s="497" t="s">
        <v>3</v>
      </c>
      <c r="C6" s="1077"/>
      <c r="D6" s="1079"/>
      <c r="E6" s="1079"/>
      <c r="F6" s="1016"/>
      <c r="G6" s="1016"/>
      <c r="H6" s="1016"/>
      <c r="I6" s="1017"/>
      <c r="J6" s="619"/>
      <c r="L6" s="620"/>
      <c r="M6" s="620"/>
      <c r="N6" s="620"/>
      <c r="O6" s="620"/>
      <c r="P6" s="620"/>
      <c r="R6" s="603"/>
      <c r="T6" s="620"/>
    </row>
    <row r="7" spans="1:21" s="601" customFormat="1" ht="15.75" customHeight="1">
      <c r="A7" s="498" t="s">
        <v>4</v>
      </c>
      <c r="B7" s="499"/>
      <c r="C7" s="621">
        <f>SUM(C8+C27+C46)</f>
        <v>208151503439.54</v>
      </c>
      <c r="D7" s="622">
        <f>SUM(D8+D27+D46)</f>
        <v>204255023727</v>
      </c>
      <c r="E7" s="500">
        <f>C7-D7</f>
        <v>3896479712.5400085</v>
      </c>
      <c r="F7" s="501"/>
      <c r="G7" s="623"/>
      <c r="H7" s="623"/>
      <c r="I7" s="624"/>
      <c r="J7" s="625"/>
      <c r="L7" s="620"/>
      <c r="M7" s="620"/>
      <c r="N7" s="620"/>
      <c r="O7" s="620"/>
      <c r="P7" s="620"/>
      <c r="Q7" s="620"/>
      <c r="R7" s="603"/>
      <c r="T7" s="620"/>
      <c r="U7" s="626"/>
    </row>
    <row r="8" spans="1:19" s="601" customFormat="1" ht="15.75" customHeight="1">
      <c r="A8" s="502" t="s">
        <v>5</v>
      </c>
      <c r="B8" s="503"/>
      <c r="C8" s="627">
        <f>SUM(C9:C26)</f>
        <v>128333503439.54001</v>
      </c>
      <c r="D8" s="628">
        <f>SUM(D9:D26)</f>
        <v>125818023727</v>
      </c>
      <c r="E8" s="504">
        <f>C8-D8</f>
        <v>2515479712.5400085</v>
      </c>
      <c r="F8" s="505"/>
      <c r="G8" s="629"/>
      <c r="H8" s="629"/>
      <c r="I8" s="630"/>
      <c r="J8" s="625"/>
      <c r="L8" s="631"/>
      <c r="M8" s="632" t="s">
        <v>593</v>
      </c>
      <c r="N8" s="633"/>
      <c r="Q8" s="603" t="s">
        <v>594</v>
      </c>
      <c r="S8" s="620" t="s">
        <v>595</v>
      </c>
    </row>
    <row r="9" spans="1:22" s="601" customFormat="1" ht="15.75" customHeight="1">
      <c r="A9" s="506"/>
      <c r="B9" s="507" t="s">
        <v>9</v>
      </c>
      <c r="C9" s="634">
        <f>+D9*102%+1440-882202</f>
        <v>128333503439.54001</v>
      </c>
      <c r="D9" s="635">
        <v>125818023727</v>
      </c>
      <c r="E9" s="508">
        <f>C9-D9</f>
        <v>2515479712.5400085</v>
      </c>
      <c r="F9" s="636" t="s">
        <v>10</v>
      </c>
      <c r="G9" s="637">
        <f>I9/H9</f>
        <v>2671606.765054763</v>
      </c>
      <c r="H9" s="509">
        <v>12</v>
      </c>
      <c r="I9" s="638">
        <v>32059281.180657152</v>
      </c>
      <c r="J9" s="639">
        <v>27472107507.04499</v>
      </c>
      <c r="K9" s="640">
        <f>SUM(M9/M26)</f>
        <v>0.2690051039791396</v>
      </c>
      <c r="L9" s="641" t="s">
        <v>10</v>
      </c>
      <c r="M9" s="642">
        <v>20817143505</v>
      </c>
      <c r="N9" s="618"/>
      <c r="O9" s="620"/>
      <c r="P9" s="601" t="s">
        <v>596</v>
      </c>
      <c r="Q9" s="603"/>
      <c r="R9" s="601" t="s">
        <v>597</v>
      </c>
      <c r="S9" s="620">
        <v>316000</v>
      </c>
      <c r="U9" s="643">
        <v>0.24981053262424896</v>
      </c>
      <c r="V9" s="555">
        <f>$I$26*U9</f>
        <v>32059060.847767375</v>
      </c>
    </row>
    <row r="10" spans="1:22" s="601" customFormat="1" ht="15.75" customHeight="1">
      <c r="A10" s="510"/>
      <c r="B10" s="511"/>
      <c r="C10" s="644"/>
      <c r="D10" s="645"/>
      <c r="E10" s="646"/>
      <c r="F10" s="647" t="s">
        <v>13</v>
      </c>
      <c r="G10" s="639">
        <f aca="true" t="shared" si="0" ref="G10:G25">I10/H10</f>
        <v>1293232.7180670926</v>
      </c>
      <c r="H10" s="648">
        <v>12</v>
      </c>
      <c r="I10" s="649">
        <v>15518792.616805112</v>
      </c>
      <c r="J10" s="639">
        <v>9809429424.731613</v>
      </c>
      <c r="K10" s="640">
        <f>SUM(M10/M26)</f>
        <v>0.09605329994064943</v>
      </c>
      <c r="L10" s="641" t="s">
        <v>13</v>
      </c>
      <c r="M10" s="642">
        <v>7433150150</v>
      </c>
      <c r="N10" s="618"/>
      <c r="O10" s="643">
        <v>0.10801297995933146</v>
      </c>
      <c r="P10" s="601" t="s">
        <v>598</v>
      </c>
      <c r="Q10" s="603"/>
      <c r="R10" s="601" t="s">
        <v>599</v>
      </c>
      <c r="S10" s="620">
        <v>427656747</v>
      </c>
      <c r="U10" s="643">
        <v>0.12092466538608404</v>
      </c>
      <c r="V10" s="555">
        <f aca="true" t="shared" si="1" ref="V10:V25">$I$26*U10</f>
        <v>15518685.961250242</v>
      </c>
    </row>
    <row r="11" spans="1:22" s="601" customFormat="1" ht="15.75" customHeight="1">
      <c r="A11" s="510"/>
      <c r="B11" s="511"/>
      <c r="C11" s="644"/>
      <c r="D11" s="645"/>
      <c r="E11" s="646"/>
      <c r="F11" s="647" t="s">
        <v>15</v>
      </c>
      <c r="G11" s="639">
        <f t="shared" si="0"/>
        <v>1350525.7200748974</v>
      </c>
      <c r="H11" s="648">
        <v>12</v>
      </c>
      <c r="I11" s="649">
        <v>16206308.64089877</v>
      </c>
      <c r="J11" s="639">
        <v>13544962769.66887</v>
      </c>
      <c r="K11" s="640">
        <f>SUM(M11/M26)</f>
        <v>0.1326314014064615</v>
      </c>
      <c r="L11" s="641" t="s">
        <v>15</v>
      </c>
      <c r="M11" s="642">
        <v>10263771488</v>
      </c>
      <c r="N11" s="618"/>
      <c r="O11" s="643">
        <v>0.15214469457596597</v>
      </c>
      <c r="P11" s="601" t="s">
        <v>600</v>
      </c>
      <c r="Q11" s="603">
        <v>4511179</v>
      </c>
      <c r="R11" s="601" t="s">
        <v>601</v>
      </c>
      <c r="S11" s="620">
        <v>27331038</v>
      </c>
      <c r="U11" s="643">
        <v>0.1262818891865405</v>
      </c>
      <c r="V11" s="555">
        <f t="shared" si="1"/>
        <v>16206197.260272508</v>
      </c>
    </row>
    <row r="12" spans="1:22" s="601" customFormat="1" ht="15.75" customHeight="1">
      <c r="A12" s="510"/>
      <c r="B12" s="511"/>
      <c r="C12" s="644"/>
      <c r="D12" s="645"/>
      <c r="E12" s="646"/>
      <c r="F12" s="647" t="s">
        <v>17</v>
      </c>
      <c r="G12" s="639">
        <f t="shared" si="0"/>
        <v>1176760.3858355726</v>
      </c>
      <c r="H12" s="648">
        <v>12</v>
      </c>
      <c r="I12" s="649">
        <v>14121124.630026871</v>
      </c>
      <c r="J12" s="639">
        <v>10682247995.412922</v>
      </c>
      <c r="K12" s="640">
        <f>SUM(M12/M26)</f>
        <v>0.10459988306321616</v>
      </c>
      <c r="L12" s="641" t="s">
        <v>17</v>
      </c>
      <c r="M12" s="642">
        <v>8094533316</v>
      </c>
      <c r="N12" s="618"/>
      <c r="O12" s="643">
        <v>0.11527080749927986</v>
      </c>
      <c r="P12" s="601" t="s">
        <v>602</v>
      </c>
      <c r="Q12" s="603"/>
      <c r="R12" s="601" t="s">
        <v>603</v>
      </c>
      <c r="S12" s="620">
        <v>5339243</v>
      </c>
      <c r="U12" s="643">
        <v>0.11003383529412322</v>
      </c>
      <c r="V12" s="555">
        <f t="shared" si="1"/>
        <v>14121027.580184141</v>
      </c>
    </row>
    <row r="13" spans="1:22" s="601" customFormat="1" ht="15.75" customHeight="1">
      <c r="A13" s="510"/>
      <c r="B13" s="511" t="s">
        <v>20</v>
      </c>
      <c r="C13" s="644"/>
      <c r="D13" s="645"/>
      <c r="E13" s="646" t="s">
        <v>20</v>
      </c>
      <c r="F13" s="647" t="s">
        <v>21</v>
      </c>
      <c r="G13" s="639">
        <f t="shared" si="0"/>
        <v>781025.1144898451</v>
      </c>
      <c r="H13" s="648">
        <v>12</v>
      </c>
      <c r="I13" s="649">
        <v>9372301.373878142</v>
      </c>
      <c r="J13" s="639">
        <v>6285863457.500749</v>
      </c>
      <c r="K13" s="640">
        <f>SUM(M13/M26)</f>
        <v>0.061550769359432586</v>
      </c>
      <c r="L13" s="641" t="s">
        <v>21</v>
      </c>
      <c r="M13" s="642">
        <v>4763148281</v>
      </c>
      <c r="N13" s="618"/>
      <c r="O13" s="643">
        <v>0.05521563196005794</v>
      </c>
      <c r="P13" s="601" t="s">
        <v>604</v>
      </c>
      <c r="Q13" s="603"/>
      <c r="R13" s="601" t="s">
        <v>605</v>
      </c>
      <c r="S13" s="620">
        <v>368295824</v>
      </c>
      <c r="U13" s="643">
        <v>0.07303032107707061</v>
      </c>
      <c r="V13" s="555">
        <f t="shared" si="1"/>
        <v>9372236.961134953</v>
      </c>
    </row>
    <row r="14" spans="1:22" s="601" customFormat="1" ht="15.75" customHeight="1">
      <c r="A14" s="510"/>
      <c r="B14" s="511"/>
      <c r="C14" s="644"/>
      <c r="D14" s="645"/>
      <c r="E14" s="646"/>
      <c r="F14" s="647" t="s">
        <v>24</v>
      </c>
      <c r="G14" s="639">
        <f t="shared" si="0"/>
        <v>117133.0852643212</v>
      </c>
      <c r="H14" s="648">
        <v>12</v>
      </c>
      <c r="I14" s="649">
        <v>1405597.0231718544</v>
      </c>
      <c r="J14" s="639">
        <v>965285902.2780033</v>
      </c>
      <c r="K14" s="640">
        <f>SUM(M14/M26)</f>
        <v>0.009452017266796968</v>
      </c>
      <c r="L14" s="641" t="s">
        <v>24</v>
      </c>
      <c r="M14" s="642">
        <v>731450805</v>
      </c>
      <c r="N14" s="618"/>
      <c r="O14" s="643">
        <v>0.008839290987217635</v>
      </c>
      <c r="P14" s="601" t="s">
        <v>606</v>
      </c>
      <c r="Q14" s="603"/>
      <c r="R14" s="601" t="s">
        <v>604</v>
      </c>
      <c r="S14" s="620"/>
      <c r="U14" s="643">
        <v>0.010952614284610801</v>
      </c>
      <c r="V14" s="555">
        <f t="shared" si="1"/>
        <v>1405587.3629660553</v>
      </c>
    </row>
    <row r="15" spans="1:22" s="601" customFormat="1" ht="15.75" customHeight="1">
      <c r="A15" s="510"/>
      <c r="B15" s="511"/>
      <c r="C15" s="644"/>
      <c r="D15" s="645"/>
      <c r="E15" s="646"/>
      <c r="F15" s="647" t="s">
        <v>26</v>
      </c>
      <c r="G15" s="639">
        <f t="shared" si="0"/>
        <v>422828.0447344082</v>
      </c>
      <c r="H15" s="648">
        <v>12</v>
      </c>
      <c r="I15" s="649">
        <v>5073936.536812899</v>
      </c>
      <c r="J15" s="639">
        <v>4384588047.17678</v>
      </c>
      <c r="K15" s="640">
        <f>SUM(M15/M26)</f>
        <v>0.042933603227710705</v>
      </c>
      <c r="L15" s="641" t="s">
        <v>26</v>
      </c>
      <c r="M15" s="642">
        <v>3322446178</v>
      </c>
      <c r="N15" s="618"/>
      <c r="O15" s="643">
        <v>0.05838079416151145</v>
      </c>
      <c r="P15" s="601" t="s">
        <v>607</v>
      </c>
      <c r="Q15" s="603"/>
      <c r="R15" s="601" t="s">
        <v>606</v>
      </c>
      <c r="S15" s="620"/>
      <c r="U15" s="643">
        <v>0.039536843687176075</v>
      </c>
      <c r="V15" s="555">
        <f t="shared" si="1"/>
        <v>5073901.665316767</v>
      </c>
    </row>
    <row r="16" spans="1:22" s="601" customFormat="1" ht="15.75" customHeight="1">
      <c r="A16" s="510"/>
      <c r="B16" s="511"/>
      <c r="C16" s="644"/>
      <c r="D16" s="645"/>
      <c r="E16" s="646"/>
      <c r="F16" s="647" t="s">
        <v>28</v>
      </c>
      <c r="G16" s="639">
        <f t="shared" si="0"/>
        <v>834149.4531522413</v>
      </c>
      <c r="H16" s="648">
        <v>12</v>
      </c>
      <c r="I16" s="649">
        <v>10009793.437826896</v>
      </c>
      <c r="J16" s="639">
        <v>5907008937.292468</v>
      </c>
      <c r="K16" s="640">
        <f>SUM(M16/M26)</f>
        <v>0.05784105034441124</v>
      </c>
      <c r="L16" s="641" t="s">
        <v>28</v>
      </c>
      <c r="M16" s="642">
        <v>4476069144</v>
      </c>
      <c r="N16" s="618"/>
      <c r="O16" s="643">
        <v>0.061774094689323225</v>
      </c>
      <c r="P16" s="601" t="s">
        <v>608</v>
      </c>
      <c r="Q16" s="603"/>
      <c r="R16" s="601" t="s">
        <v>609</v>
      </c>
      <c r="S16" s="620"/>
      <c r="U16" s="643">
        <v>0.07799775098110895</v>
      </c>
      <c r="V16" s="555">
        <f t="shared" si="1"/>
        <v>10009724.643810531</v>
      </c>
    </row>
    <row r="17" spans="1:22" s="601" customFormat="1" ht="15.75" customHeight="1">
      <c r="A17" s="510"/>
      <c r="B17" s="511"/>
      <c r="C17" s="644"/>
      <c r="D17" s="645"/>
      <c r="E17" s="646"/>
      <c r="F17" s="647" t="s">
        <v>30</v>
      </c>
      <c r="G17" s="639">
        <f t="shared" si="0"/>
        <v>86403.19731322135</v>
      </c>
      <c r="H17" s="648">
        <v>12</v>
      </c>
      <c r="I17" s="649">
        <v>1036838.3677586562</v>
      </c>
      <c r="J17" s="639">
        <v>1324032687.41277</v>
      </c>
      <c r="K17" s="640">
        <f>SUM(M17/M26)</f>
        <v>0.012964842637497491</v>
      </c>
      <c r="L17" s="641" t="s">
        <v>30</v>
      </c>
      <c r="M17" s="642">
        <v>1003293193</v>
      </c>
      <c r="N17" s="618"/>
      <c r="O17" s="643">
        <v>0.016380702408584406</v>
      </c>
      <c r="P17" s="601" t="s">
        <v>610</v>
      </c>
      <c r="Q17" s="603"/>
      <c r="R17" s="601" t="s">
        <v>611</v>
      </c>
      <c r="S17" s="620"/>
      <c r="U17" s="643">
        <v>0.00807919377341877</v>
      </c>
      <c r="V17" s="555">
        <f t="shared" si="1"/>
        <v>1036831.241909748</v>
      </c>
    </row>
    <row r="18" spans="1:22" s="601" customFormat="1" ht="15.75" customHeight="1">
      <c r="A18" s="510"/>
      <c r="B18" s="511"/>
      <c r="C18" s="644"/>
      <c r="D18" s="645"/>
      <c r="E18" s="646"/>
      <c r="F18" s="647" t="s">
        <v>32</v>
      </c>
      <c r="G18" s="639">
        <f t="shared" si="0"/>
        <v>223096.1296647902</v>
      </c>
      <c r="H18" s="648">
        <v>12</v>
      </c>
      <c r="I18" s="649">
        <v>2677153.5559774823</v>
      </c>
      <c r="J18" s="639">
        <v>1491070912.9273252</v>
      </c>
      <c r="K18" s="640">
        <f>SUM(M18/M26)</f>
        <v>0.014600470163034474</v>
      </c>
      <c r="L18" s="641" t="s">
        <v>32</v>
      </c>
      <c r="M18" s="642">
        <v>1129867345</v>
      </c>
      <c r="N18" s="618"/>
      <c r="O18" s="643">
        <v>0.018369856525966642</v>
      </c>
      <c r="P18" s="601" t="s">
        <v>612</v>
      </c>
      <c r="Q18" s="603"/>
      <c r="R18" s="601" t="s">
        <v>610</v>
      </c>
      <c r="S18" s="620"/>
      <c r="U18" s="643">
        <v>0.020860765778464914</v>
      </c>
      <c r="V18" s="555">
        <f t="shared" si="1"/>
        <v>2677135.1567820655</v>
      </c>
    </row>
    <row r="19" spans="1:22" s="601" customFormat="1" ht="15.75" customHeight="1">
      <c r="A19" s="510"/>
      <c r="B19" s="511"/>
      <c r="C19" s="644"/>
      <c r="D19" s="645"/>
      <c r="E19" s="646"/>
      <c r="F19" s="647" t="s">
        <v>34</v>
      </c>
      <c r="G19" s="639">
        <f t="shared" si="0"/>
        <v>23493.64985348782</v>
      </c>
      <c r="H19" s="648">
        <v>12</v>
      </c>
      <c r="I19" s="649">
        <v>281923.79824185383</v>
      </c>
      <c r="J19" s="639">
        <v>390210886.18995166</v>
      </c>
      <c r="K19" s="640">
        <f>SUM(M19/M26)</f>
        <v>0.0038209198179062825</v>
      </c>
      <c r="L19" s="641" t="s">
        <v>34</v>
      </c>
      <c r="M19" s="642">
        <v>295684487</v>
      </c>
      <c r="N19" s="618"/>
      <c r="O19" s="643">
        <v>0.002157796033396506</v>
      </c>
      <c r="P19" s="601" t="s">
        <v>613</v>
      </c>
      <c r="Q19" s="603"/>
      <c r="R19" s="601" t="s">
        <v>612</v>
      </c>
      <c r="S19" s="620"/>
      <c r="U19" s="643">
        <v>0.002196790807672288</v>
      </c>
      <c r="V19" s="555">
        <f t="shared" si="1"/>
        <v>281921.86067236145</v>
      </c>
    </row>
    <row r="20" spans="1:22" s="601" customFormat="1" ht="15.75" customHeight="1">
      <c r="A20" s="510"/>
      <c r="B20" s="511"/>
      <c r="C20" s="644"/>
      <c r="D20" s="645"/>
      <c r="E20" s="646"/>
      <c r="F20" s="647" t="s">
        <v>36</v>
      </c>
      <c r="G20" s="639">
        <f t="shared" si="0"/>
        <v>915.2606007963086</v>
      </c>
      <c r="H20" s="648">
        <v>12</v>
      </c>
      <c r="I20" s="649">
        <v>10983.127209555703</v>
      </c>
      <c r="J20" s="639">
        <v>46657883.708378896</v>
      </c>
      <c r="K20" s="640">
        <f>SUM(M20/M26)</f>
        <v>0.00045687098651606606</v>
      </c>
      <c r="L20" s="641" t="s">
        <v>36</v>
      </c>
      <c r="M20" s="642">
        <v>35355273</v>
      </c>
      <c r="N20" s="618"/>
      <c r="O20" s="643">
        <v>0.00048559976960308376</v>
      </c>
      <c r="P20" s="601" t="s">
        <v>614</v>
      </c>
      <c r="Q20" s="603"/>
      <c r="R20" s="601" t="s">
        <v>613</v>
      </c>
      <c r="S20" s="620"/>
      <c r="U20" s="643">
        <v>8.558210780329015E-05</v>
      </c>
      <c r="V20" s="555">
        <f t="shared" si="1"/>
        <v>10983.05172613662</v>
      </c>
    </row>
    <row r="21" spans="1:22" s="601" customFormat="1" ht="15.75" customHeight="1">
      <c r="A21" s="510"/>
      <c r="B21" s="511"/>
      <c r="C21" s="644"/>
      <c r="D21" s="645"/>
      <c r="E21" s="646"/>
      <c r="F21" s="647" t="s">
        <v>39</v>
      </c>
      <c r="G21" s="639">
        <f t="shared" si="0"/>
        <v>367019.8135783428</v>
      </c>
      <c r="H21" s="648">
        <v>12</v>
      </c>
      <c r="I21" s="649">
        <v>4404237.762940113</v>
      </c>
      <c r="J21" s="639">
        <v>3565161297.8369493</v>
      </c>
      <c r="K21" s="640">
        <f>SUM(M21/M26)</f>
        <v>0.034909829374433446</v>
      </c>
      <c r="L21" s="641" t="s">
        <v>39</v>
      </c>
      <c r="M21" s="642">
        <v>2701520964</v>
      </c>
      <c r="N21" s="618"/>
      <c r="O21" s="643">
        <v>0.04558576941856265</v>
      </c>
      <c r="P21" s="601" t="s">
        <v>615</v>
      </c>
      <c r="Q21" s="603">
        <v>43274988</v>
      </c>
      <c r="R21" s="601" t="s">
        <v>614</v>
      </c>
      <c r="S21" s="620"/>
      <c r="U21" s="643">
        <v>0.03431845446452858</v>
      </c>
      <c r="V21" s="555">
        <f t="shared" si="1"/>
        <v>4404207.494063276</v>
      </c>
    </row>
    <row r="22" spans="1:22" s="601" customFormat="1" ht="15.75" customHeight="1">
      <c r="A22" s="510"/>
      <c r="B22" s="511"/>
      <c r="C22" s="644"/>
      <c r="D22" s="645"/>
      <c r="E22" s="646"/>
      <c r="F22" s="650" t="s">
        <v>41</v>
      </c>
      <c r="G22" s="639">
        <f t="shared" si="0"/>
        <v>209818.14579477324</v>
      </c>
      <c r="H22" s="648">
        <v>12</v>
      </c>
      <c r="I22" s="649">
        <v>2517817.749537279</v>
      </c>
      <c r="J22" s="639">
        <v>2739143057.846892</v>
      </c>
      <c r="K22" s="640">
        <f>SUM(M22/M26)</f>
        <v>0.026821512070047206</v>
      </c>
      <c r="L22" s="641" t="s">
        <v>41</v>
      </c>
      <c r="M22" s="642">
        <v>2075601011</v>
      </c>
      <c r="N22" s="618"/>
      <c r="O22" s="643">
        <v>0.027915748351728272</v>
      </c>
      <c r="P22" s="601" t="s">
        <v>616</v>
      </c>
      <c r="R22" s="601" t="s">
        <v>615</v>
      </c>
      <c r="S22" s="620">
        <v>2182745913</v>
      </c>
      <c r="U22" s="643">
        <v>0.01961919824460028</v>
      </c>
      <c r="V22" s="555">
        <f t="shared" si="1"/>
        <v>2517800.445404427</v>
      </c>
    </row>
    <row r="23" spans="1:22" s="601" customFormat="1" ht="15.75" customHeight="1">
      <c r="A23" s="510"/>
      <c r="B23" s="511"/>
      <c r="C23" s="644"/>
      <c r="D23" s="645"/>
      <c r="E23" s="646"/>
      <c r="F23" s="650" t="s">
        <v>57</v>
      </c>
      <c r="G23" s="639">
        <f t="shared" si="0"/>
        <v>15968.31995048024</v>
      </c>
      <c r="H23" s="648">
        <v>12</v>
      </c>
      <c r="I23" s="649">
        <v>191619.83940576288</v>
      </c>
      <c r="J23" s="639">
        <v>154637563.7302752</v>
      </c>
      <c r="K23" s="640">
        <f>SUM(M23/M26)</f>
        <v>0.0015142010455395886</v>
      </c>
      <c r="L23" s="641" t="s">
        <v>617</v>
      </c>
      <c r="M23" s="642">
        <v>117177481</v>
      </c>
      <c r="N23" s="618"/>
      <c r="O23" s="643">
        <v>0.0007271277790406814</v>
      </c>
      <c r="P23" s="601" t="s">
        <v>618</v>
      </c>
      <c r="R23" s="601" t="s">
        <v>616</v>
      </c>
      <c r="S23" s="620">
        <v>270488</v>
      </c>
      <c r="U23" s="643">
        <v>0.0014931293647409676</v>
      </c>
      <c r="V23" s="555">
        <f t="shared" si="1"/>
        <v>191618.52246566318</v>
      </c>
    </row>
    <row r="24" spans="1:22" s="601" customFormat="1" ht="15.75" customHeight="1">
      <c r="A24" s="510"/>
      <c r="B24" s="511"/>
      <c r="C24" s="644"/>
      <c r="D24" s="645"/>
      <c r="E24" s="646"/>
      <c r="F24" s="650" t="s">
        <v>45</v>
      </c>
      <c r="G24" s="639">
        <f t="shared" si="0"/>
        <v>410984.5530666003</v>
      </c>
      <c r="H24" s="648">
        <v>12</v>
      </c>
      <c r="I24" s="649">
        <v>4931814.636799203</v>
      </c>
      <c r="J24" s="639">
        <v>5598573046.115964</v>
      </c>
      <c r="K24" s="640">
        <f>SUM(M24/M26)</f>
        <v>0.05482086600087091</v>
      </c>
      <c r="L24" s="641" t="s">
        <v>45</v>
      </c>
      <c r="M24" s="642">
        <v>4242350118</v>
      </c>
      <c r="N24" s="618"/>
      <c r="O24" s="643">
        <v>0.06363191584185231</v>
      </c>
      <c r="S24" s="620"/>
      <c r="U24" s="643">
        <v>0.038429409389447264</v>
      </c>
      <c r="V24" s="555">
        <f t="shared" si="1"/>
        <v>4931780.742060122</v>
      </c>
    </row>
    <row r="25" spans="1:22" s="601" customFormat="1" ht="15.75" customHeight="1">
      <c r="A25" s="510"/>
      <c r="B25" s="511"/>
      <c r="C25" s="644"/>
      <c r="D25" s="645"/>
      <c r="E25" s="646"/>
      <c r="F25" s="647" t="s">
        <v>59</v>
      </c>
      <c r="G25" s="639">
        <f t="shared" si="0"/>
        <v>709571.7634660344</v>
      </c>
      <c r="H25" s="648">
        <v>12</v>
      </c>
      <c r="I25" s="649">
        <v>8514861.161592413</v>
      </c>
      <c r="J25" s="639">
        <v>7763874622.791764</v>
      </c>
      <c r="K25" s="640">
        <f>SUM(M25/M26)</f>
        <v>0.07602335931633632</v>
      </c>
      <c r="L25" s="651" t="s">
        <v>619</v>
      </c>
      <c r="M25" s="642">
        <v>5883119529</v>
      </c>
      <c r="N25" s="618"/>
      <c r="O25" s="643">
        <v>0.07423750653788547</v>
      </c>
      <c r="P25" s="601" t="s">
        <v>620</v>
      </c>
      <c r="Q25" s="603"/>
      <c r="R25" s="601" t="s">
        <v>618</v>
      </c>
      <c r="U25" s="643">
        <v>0.06634902354836049</v>
      </c>
      <c r="V25" s="555">
        <f t="shared" si="1"/>
        <v>8514802.641753642</v>
      </c>
    </row>
    <row r="26" spans="1:22" s="601" customFormat="1" ht="15.75" customHeight="1">
      <c r="A26" s="514"/>
      <c r="B26" s="515"/>
      <c r="C26" s="652"/>
      <c r="D26" s="653"/>
      <c r="E26" s="516"/>
      <c r="F26" s="517" t="s">
        <v>621</v>
      </c>
      <c r="G26" s="654"/>
      <c r="H26" s="654"/>
      <c r="I26" s="655">
        <f>+C9/1000</f>
        <v>128333503.43954001</v>
      </c>
      <c r="J26" s="656">
        <f>SUM(J9:J25)</f>
        <v>102124855999.66664</v>
      </c>
      <c r="K26" s="640">
        <f>SUM(K9:K25)</f>
        <v>1</v>
      </c>
      <c r="L26" s="631" t="s">
        <v>622</v>
      </c>
      <c r="M26" s="657">
        <f>SUM(M9:M25)</f>
        <v>77385682268</v>
      </c>
      <c r="N26" s="658"/>
      <c r="P26" s="601" t="s">
        <v>623</v>
      </c>
      <c r="R26" s="640" t="s">
        <v>48</v>
      </c>
      <c r="S26" s="620"/>
      <c r="V26" s="555">
        <f>SUM(V9:V25)</f>
        <v>128333503.43953998</v>
      </c>
    </row>
    <row r="27" spans="1:18" s="601" customFormat="1" ht="15.75" customHeight="1">
      <c r="A27" s="514" t="s">
        <v>50</v>
      </c>
      <c r="B27" s="515"/>
      <c r="C27" s="659">
        <f>SUM(C28:C45)</f>
        <v>70458000000</v>
      </c>
      <c r="D27" s="660">
        <f>SUM(D28:D45)</f>
        <v>69077000000</v>
      </c>
      <c r="E27" s="518">
        <f>C27-D27</f>
        <v>1381000000</v>
      </c>
      <c r="F27" s="519"/>
      <c r="G27" s="520"/>
      <c r="H27" s="520"/>
      <c r="I27" s="521"/>
      <c r="J27" s="522"/>
      <c r="L27" s="631"/>
      <c r="M27" s="632" t="s">
        <v>624</v>
      </c>
      <c r="N27" s="633"/>
      <c r="P27" s="640" t="s">
        <v>625</v>
      </c>
      <c r="Q27" s="603">
        <v>346491082</v>
      </c>
      <c r="R27" s="601" t="s">
        <v>626</v>
      </c>
    </row>
    <row r="28" spans="1:22" s="601" customFormat="1" ht="15.75" customHeight="1">
      <c r="A28" s="506"/>
      <c r="B28" s="507" t="s">
        <v>300</v>
      </c>
      <c r="C28" s="634">
        <f>+D28*102%-540000</f>
        <v>70458000000</v>
      </c>
      <c r="D28" s="634">
        <v>69077000000</v>
      </c>
      <c r="E28" s="508">
        <f>C28-D28</f>
        <v>1381000000</v>
      </c>
      <c r="F28" s="661" t="s">
        <v>10</v>
      </c>
      <c r="G28" s="707">
        <f>I28/H28</f>
        <v>2134029929.1790524</v>
      </c>
      <c r="H28" s="523">
        <v>12</v>
      </c>
      <c r="I28" s="708">
        <v>25608359150.14863</v>
      </c>
      <c r="J28" s="662"/>
      <c r="K28" s="640">
        <f>SUM(M28/M45)</f>
        <v>0.3293137282038295</v>
      </c>
      <c r="L28" s="641" t="s">
        <v>10</v>
      </c>
      <c r="M28" s="642">
        <v>12050804917</v>
      </c>
      <c r="N28" s="618">
        <f>+J28*101.42%</f>
        <v>0</v>
      </c>
      <c r="O28" s="643">
        <v>0.2893935477751763</v>
      </c>
      <c r="P28" s="601" t="s">
        <v>627</v>
      </c>
      <c r="Q28" s="603">
        <v>47411373</v>
      </c>
      <c r="R28" s="601" t="s">
        <v>628</v>
      </c>
      <c r="S28" s="620">
        <v>34695107</v>
      </c>
      <c r="U28" s="663">
        <v>0.3634556636598914</v>
      </c>
      <c r="V28" s="555">
        <f>$I$45*U28</f>
        <v>25608359150.14863</v>
      </c>
    </row>
    <row r="29" spans="1:22" s="601" customFormat="1" ht="15.75" customHeight="1">
      <c r="A29" s="510"/>
      <c r="B29" s="511"/>
      <c r="C29" s="664"/>
      <c r="D29" s="665"/>
      <c r="E29" s="646"/>
      <c r="F29" s="666" t="s">
        <v>13</v>
      </c>
      <c r="G29" s="709">
        <f aca="true" t="shared" si="2" ref="G29:G44">I29/H29</f>
        <v>288363131.35836977</v>
      </c>
      <c r="H29" s="522">
        <v>12</v>
      </c>
      <c r="I29" s="708">
        <v>3460357576.3004375</v>
      </c>
      <c r="J29" s="662"/>
      <c r="K29" s="640">
        <f>SUM(M29/M45)</f>
        <v>0.06482470397208413</v>
      </c>
      <c r="L29" s="641" t="s">
        <v>13</v>
      </c>
      <c r="M29" s="642">
        <v>2372175207</v>
      </c>
      <c r="N29" s="618">
        <f aca="true" t="shared" si="3" ref="N29:N44">+J29*101.42%</f>
        <v>0</v>
      </c>
      <c r="O29" s="643">
        <v>0.058441106890782996</v>
      </c>
      <c r="P29" s="601" t="s">
        <v>629</v>
      </c>
      <c r="R29" s="601" t="s">
        <v>627</v>
      </c>
      <c r="S29" s="620">
        <v>513380</v>
      </c>
      <c r="U29" s="663">
        <v>0.049112344606722265</v>
      </c>
      <c r="V29" s="555">
        <f>$I$45*U29</f>
        <v>3460357576.3004375</v>
      </c>
    </row>
    <row r="30" spans="1:22" s="601" customFormat="1" ht="15.75" customHeight="1">
      <c r="A30" s="510"/>
      <c r="B30" s="511"/>
      <c r="C30" s="664"/>
      <c r="D30" s="665"/>
      <c r="E30" s="646"/>
      <c r="F30" s="666" t="s">
        <v>15</v>
      </c>
      <c r="G30" s="709">
        <f t="shared" si="2"/>
        <v>207063030.77142417</v>
      </c>
      <c r="H30" s="522">
        <v>12</v>
      </c>
      <c r="I30" s="708">
        <v>2484756369.25709</v>
      </c>
      <c r="J30" s="662"/>
      <c r="K30" s="640">
        <f>SUM(M30/M45)</f>
        <v>0.04661652316322311</v>
      </c>
      <c r="L30" s="641" t="s">
        <v>15</v>
      </c>
      <c r="M30" s="642">
        <v>1705870659</v>
      </c>
      <c r="N30" s="618">
        <f t="shared" si="3"/>
        <v>0</v>
      </c>
      <c r="O30" s="643">
        <v>0.047897207350128236</v>
      </c>
      <c r="P30" s="601" t="s">
        <v>630</v>
      </c>
      <c r="R30" s="601" t="s">
        <v>631</v>
      </c>
      <c r="U30" s="663">
        <v>0.03526578059634236</v>
      </c>
      <c r="V30" s="555">
        <f>$I$45*U30</f>
        <v>2484756369.25709</v>
      </c>
    </row>
    <row r="31" spans="1:22" s="601" customFormat="1" ht="15.75" customHeight="1">
      <c r="A31" s="510"/>
      <c r="B31" s="511"/>
      <c r="C31" s="664"/>
      <c r="D31" s="665"/>
      <c r="E31" s="646"/>
      <c r="F31" s="666" t="s">
        <v>17</v>
      </c>
      <c r="G31" s="709">
        <f t="shared" si="2"/>
        <v>86084166.00119711</v>
      </c>
      <c r="H31" s="522">
        <v>12</v>
      </c>
      <c r="I31" s="708">
        <v>1033009992.0143654</v>
      </c>
      <c r="J31" s="662"/>
      <c r="K31" s="640">
        <f>SUM(M31/M45)</f>
        <v>0.02089930847186529</v>
      </c>
      <c r="L31" s="641" t="s">
        <v>17</v>
      </c>
      <c r="M31" s="642">
        <v>764782843</v>
      </c>
      <c r="N31" s="618">
        <f t="shared" si="3"/>
        <v>0</v>
      </c>
      <c r="O31" s="643">
        <v>0.021426978838763846</v>
      </c>
      <c r="P31" s="601" t="s">
        <v>632</v>
      </c>
      <c r="R31" s="601" t="s">
        <v>633</v>
      </c>
      <c r="U31" s="663">
        <v>0.014661358426500404</v>
      </c>
      <c r="V31" s="555">
        <f>$I$45*U31</f>
        <v>1033009992.0143654</v>
      </c>
    </row>
    <row r="32" spans="1:22" s="601" customFormat="1" ht="15.75" customHeight="1">
      <c r="A32" s="510"/>
      <c r="B32" s="511"/>
      <c r="C32" s="664"/>
      <c r="D32" s="665"/>
      <c r="E32" s="646"/>
      <c r="F32" s="666" t="s">
        <v>21</v>
      </c>
      <c r="G32" s="709">
        <f t="shared" si="2"/>
        <v>60118793.34476843</v>
      </c>
      <c r="H32" s="522">
        <v>12</v>
      </c>
      <c r="I32" s="708">
        <v>721425520.1372211</v>
      </c>
      <c r="J32" s="662"/>
      <c r="K32" s="640">
        <f>SUM(M32/M45)</f>
        <v>0.011466651678895635</v>
      </c>
      <c r="L32" s="641" t="s">
        <v>21</v>
      </c>
      <c r="M32" s="642">
        <v>419607112</v>
      </c>
      <c r="N32" s="618">
        <f t="shared" si="3"/>
        <v>0</v>
      </c>
      <c r="O32" s="643">
        <v>0.009618651782978622</v>
      </c>
      <c r="P32" s="601" t="s">
        <v>634</v>
      </c>
      <c r="R32" s="601" t="s">
        <v>632</v>
      </c>
      <c r="U32" s="663">
        <v>0.010239085982247879</v>
      </c>
      <c r="V32" s="555">
        <f aca="true" t="shared" si="4" ref="V32:V44">$I$45*U32</f>
        <v>721425520.1372211</v>
      </c>
    </row>
    <row r="33" spans="1:22" s="601" customFormat="1" ht="15.75" customHeight="1">
      <c r="A33" s="510"/>
      <c r="B33" s="511"/>
      <c r="C33" s="664"/>
      <c r="D33" s="665"/>
      <c r="E33" s="646"/>
      <c r="F33" s="666" t="s">
        <v>24</v>
      </c>
      <c r="G33" s="709">
        <f t="shared" si="2"/>
        <v>43199050.87221942</v>
      </c>
      <c r="H33" s="522">
        <v>12</v>
      </c>
      <c r="I33" s="708">
        <v>518388610.4666331</v>
      </c>
      <c r="J33" s="662"/>
      <c r="K33" s="640">
        <f>SUM(M33/M45)</f>
        <v>0.006321685997277022</v>
      </c>
      <c r="L33" s="641" t="s">
        <v>24</v>
      </c>
      <c r="M33" s="642">
        <v>231333826</v>
      </c>
      <c r="N33" s="618">
        <f t="shared" si="3"/>
        <v>0</v>
      </c>
      <c r="O33" s="643">
        <v>0.005528351141318181</v>
      </c>
      <c r="P33" s="601" t="s">
        <v>635</v>
      </c>
      <c r="Q33" s="603">
        <v>745480</v>
      </c>
      <c r="R33" s="601" t="s">
        <v>636</v>
      </c>
      <c r="U33" s="663">
        <v>0.007357413075401418</v>
      </c>
      <c r="V33" s="555">
        <f t="shared" si="4"/>
        <v>518388610.4666331</v>
      </c>
    </row>
    <row r="34" spans="1:22" s="601" customFormat="1" ht="15.75" customHeight="1">
      <c r="A34" s="512"/>
      <c r="B34" s="513"/>
      <c r="C34" s="667"/>
      <c r="D34" s="668"/>
      <c r="E34" s="669"/>
      <c r="F34" s="670" t="s">
        <v>26</v>
      </c>
      <c r="G34" s="710">
        <f t="shared" si="2"/>
        <v>203015164.68398002</v>
      </c>
      <c r="H34" s="671">
        <v>12</v>
      </c>
      <c r="I34" s="711">
        <v>2436181976.2077603</v>
      </c>
      <c r="J34" s="662"/>
      <c r="K34" s="640">
        <f>SUM(M34/M45)</f>
        <v>0.036567930639596596</v>
      </c>
      <c r="L34" s="641" t="s">
        <v>26</v>
      </c>
      <c r="M34" s="642">
        <v>1338155566</v>
      </c>
      <c r="N34" s="618">
        <f t="shared" si="3"/>
        <v>0</v>
      </c>
      <c r="O34" s="643">
        <v>0.04018828748582029</v>
      </c>
      <c r="P34" s="601" t="s">
        <v>636</v>
      </c>
      <c r="R34" s="601" t="s">
        <v>635</v>
      </c>
      <c r="S34" s="620"/>
      <c r="U34" s="663">
        <v>0.034576371401512394</v>
      </c>
      <c r="V34" s="555">
        <f t="shared" si="4"/>
        <v>2436181976.2077603</v>
      </c>
    </row>
    <row r="35" spans="1:22" s="601" customFormat="1" ht="15.75" customHeight="1">
      <c r="A35" s="510"/>
      <c r="B35" s="507" t="s">
        <v>637</v>
      </c>
      <c r="C35" s="664"/>
      <c r="D35" s="665"/>
      <c r="E35" s="646"/>
      <c r="F35" s="666" t="s">
        <v>28</v>
      </c>
      <c r="G35" s="709">
        <f t="shared" si="2"/>
        <v>315382114.0408946</v>
      </c>
      <c r="H35" s="522">
        <v>12</v>
      </c>
      <c r="I35" s="708">
        <v>3784585368.4907355</v>
      </c>
      <c r="J35" s="662"/>
      <c r="K35" s="640">
        <f>SUM(M35/M45)</f>
        <v>0.13453593782280765</v>
      </c>
      <c r="L35" s="641" t="s">
        <v>53</v>
      </c>
      <c r="M35" s="642">
        <v>4923166580</v>
      </c>
      <c r="N35" s="618">
        <f t="shared" si="3"/>
        <v>0</v>
      </c>
      <c r="O35" s="643">
        <v>0.124989467824062</v>
      </c>
      <c r="P35" s="601" t="s">
        <v>318</v>
      </c>
      <c r="Q35" s="603">
        <v>525430394</v>
      </c>
      <c r="R35" s="601" t="s">
        <v>638</v>
      </c>
      <c r="U35" s="663">
        <v>0.053714061831030335</v>
      </c>
      <c r="V35" s="555">
        <f t="shared" si="4"/>
        <v>3784585368.4907355</v>
      </c>
    </row>
    <row r="36" spans="1:22" s="601" customFormat="1" ht="15.75" customHeight="1">
      <c r="A36" s="510"/>
      <c r="B36" s="511" t="s">
        <v>20</v>
      </c>
      <c r="C36" s="664" t="s">
        <v>20</v>
      </c>
      <c r="D36" s="665" t="s">
        <v>20</v>
      </c>
      <c r="E36" s="646" t="s">
        <v>20</v>
      </c>
      <c r="F36" s="666" t="s">
        <v>30</v>
      </c>
      <c r="G36" s="709">
        <f t="shared" si="2"/>
        <v>165600611.74717963</v>
      </c>
      <c r="H36" s="522">
        <v>12</v>
      </c>
      <c r="I36" s="708">
        <v>1987207340.9661555</v>
      </c>
      <c r="J36" s="662"/>
      <c r="K36" s="640">
        <f>SUM(M36/M45)</f>
        <v>0.02131565570142421</v>
      </c>
      <c r="L36" s="641" t="s">
        <v>639</v>
      </c>
      <c r="M36" s="642">
        <v>780018525</v>
      </c>
      <c r="N36" s="618">
        <f t="shared" si="3"/>
        <v>0</v>
      </c>
      <c r="O36" s="643">
        <v>0.015271309367229246</v>
      </c>
      <c r="P36" s="601" t="s">
        <v>640</v>
      </c>
      <c r="Q36" s="603"/>
      <c r="R36" s="601" t="s">
        <v>641</v>
      </c>
      <c r="S36" s="620">
        <v>1607687982</v>
      </c>
      <c r="U36" s="663">
        <v>0.02820414063649487</v>
      </c>
      <c r="V36" s="555">
        <f t="shared" si="4"/>
        <v>1987207340.9661555</v>
      </c>
    </row>
    <row r="37" spans="1:22" s="601" customFormat="1" ht="15.75" customHeight="1">
      <c r="A37" s="510"/>
      <c r="B37" s="511"/>
      <c r="C37" s="664"/>
      <c r="D37" s="665"/>
      <c r="E37" s="646"/>
      <c r="F37" s="666" t="s">
        <v>32</v>
      </c>
      <c r="G37" s="709">
        <f t="shared" si="2"/>
        <v>235094903.92394975</v>
      </c>
      <c r="H37" s="522">
        <v>12</v>
      </c>
      <c r="I37" s="708">
        <v>2821138847.087397</v>
      </c>
      <c r="J37" s="662"/>
      <c r="K37" s="640">
        <f>SUM(M37/M45)</f>
        <v>0.03286968971002594</v>
      </c>
      <c r="L37" s="641" t="s">
        <v>32</v>
      </c>
      <c r="M37" s="642">
        <v>1202823279</v>
      </c>
      <c r="N37" s="618">
        <f t="shared" si="3"/>
        <v>0</v>
      </c>
      <c r="O37" s="643">
        <v>0.031705026383007415</v>
      </c>
      <c r="P37" s="601" t="s">
        <v>642</v>
      </c>
      <c r="Q37" s="603">
        <v>16545163</v>
      </c>
      <c r="R37" s="601" t="s">
        <v>640</v>
      </c>
      <c r="S37" s="620">
        <v>3730793932</v>
      </c>
      <c r="U37" s="663">
        <v>0.04004000748087367</v>
      </c>
      <c r="V37" s="555">
        <f t="shared" si="4"/>
        <v>2821138847.087397</v>
      </c>
    </row>
    <row r="38" spans="1:22" s="601" customFormat="1" ht="15.75" customHeight="1">
      <c r="A38" s="510"/>
      <c r="B38" s="511"/>
      <c r="C38" s="664"/>
      <c r="D38" s="665"/>
      <c r="E38" s="646"/>
      <c r="F38" s="666" t="s">
        <v>34</v>
      </c>
      <c r="G38" s="709">
        <f t="shared" si="2"/>
        <v>72223240.86483939</v>
      </c>
      <c r="H38" s="522">
        <v>12</v>
      </c>
      <c r="I38" s="708">
        <v>866678890.3780727</v>
      </c>
      <c r="J38" s="662"/>
      <c r="K38" s="640">
        <f>SUM(M38/M45)</f>
        <v>0.00892420472570473</v>
      </c>
      <c r="L38" s="641" t="s">
        <v>54</v>
      </c>
      <c r="M38" s="642">
        <v>326569593</v>
      </c>
      <c r="N38" s="618">
        <f t="shared" si="3"/>
        <v>0</v>
      </c>
      <c r="O38" s="643">
        <v>0.006911248144078024</v>
      </c>
      <c r="P38" s="601" t="s">
        <v>643</v>
      </c>
      <c r="R38" s="601" t="s">
        <v>642</v>
      </c>
      <c r="S38" s="620">
        <v>354126303</v>
      </c>
      <c r="U38" s="663">
        <v>0.012300645638225223</v>
      </c>
      <c r="V38" s="555">
        <f t="shared" si="4"/>
        <v>866678890.3780727</v>
      </c>
    </row>
    <row r="39" spans="1:22" s="601" customFormat="1" ht="15.75" customHeight="1">
      <c r="A39" s="510"/>
      <c r="B39" s="511"/>
      <c r="C39" s="664"/>
      <c r="D39" s="665"/>
      <c r="E39" s="646"/>
      <c r="F39" s="666" t="s">
        <v>36</v>
      </c>
      <c r="G39" s="709">
        <f t="shared" si="2"/>
        <v>24188052.95661013</v>
      </c>
      <c r="H39" s="522">
        <v>12</v>
      </c>
      <c r="I39" s="708">
        <v>290256635.47932154</v>
      </c>
      <c r="J39" s="662"/>
      <c r="K39" s="640">
        <f>SUM(M39/M45)</f>
        <v>0.04040109356861682</v>
      </c>
      <c r="L39" s="641" t="s">
        <v>41</v>
      </c>
      <c r="M39" s="642">
        <v>1478425147</v>
      </c>
      <c r="N39" s="618">
        <f t="shared" si="3"/>
        <v>0</v>
      </c>
      <c r="O39" s="643">
        <v>0.03605143410516609</v>
      </c>
      <c r="P39" s="601" t="s">
        <v>644</v>
      </c>
      <c r="Q39" s="603"/>
      <c r="R39" s="601" t="s">
        <v>643</v>
      </c>
      <c r="U39" s="663">
        <v>0.004119569608551499</v>
      </c>
      <c r="V39" s="555">
        <f t="shared" si="4"/>
        <v>290256635.47932154</v>
      </c>
    </row>
    <row r="40" spans="1:22" s="601" customFormat="1" ht="15.75" customHeight="1">
      <c r="A40" s="510"/>
      <c r="B40" s="511"/>
      <c r="C40" s="664"/>
      <c r="D40" s="665"/>
      <c r="E40" s="646"/>
      <c r="F40" s="666" t="s">
        <v>39</v>
      </c>
      <c r="G40" s="709">
        <f t="shared" si="2"/>
        <v>327776129.00334793</v>
      </c>
      <c r="H40" s="522">
        <v>12</v>
      </c>
      <c r="I40" s="708">
        <v>3933313548.040175</v>
      </c>
      <c r="J40" s="662"/>
      <c r="K40" s="640">
        <f>SUM(M40/M45)</f>
        <v>0.012894173886060265</v>
      </c>
      <c r="L40" s="641" t="s">
        <v>55</v>
      </c>
      <c r="M40" s="642">
        <v>471845419</v>
      </c>
      <c r="N40" s="618">
        <f t="shared" si="3"/>
        <v>0</v>
      </c>
      <c r="O40" s="643">
        <v>0.011988767994942867</v>
      </c>
      <c r="P40" s="601" t="s">
        <v>645</v>
      </c>
      <c r="Q40" s="603">
        <v>9100</v>
      </c>
      <c r="R40" s="601" t="s">
        <v>644</v>
      </c>
      <c r="U40" s="663">
        <v>0.05582493894291883</v>
      </c>
      <c r="V40" s="555">
        <f t="shared" si="4"/>
        <v>3933313548.040175</v>
      </c>
    </row>
    <row r="41" spans="1:22" s="601" customFormat="1" ht="15.75" customHeight="1">
      <c r="A41" s="510"/>
      <c r="B41" s="511"/>
      <c r="C41" s="664"/>
      <c r="D41" s="665"/>
      <c r="E41" s="646"/>
      <c r="F41" s="666" t="s">
        <v>41</v>
      </c>
      <c r="G41" s="709">
        <f t="shared" si="2"/>
        <v>128361296.59108876</v>
      </c>
      <c r="H41" s="522">
        <v>12</v>
      </c>
      <c r="I41" s="708">
        <v>1540335559.093065</v>
      </c>
      <c r="J41" s="662"/>
      <c r="K41" s="640">
        <f>SUM(M41/M45)</f>
        <v>0.03717864497844758</v>
      </c>
      <c r="L41" s="641" t="s">
        <v>56</v>
      </c>
      <c r="M41" s="642">
        <v>1360503858</v>
      </c>
      <c r="N41" s="618">
        <f t="shared" si="3"/>
        <v>0</v>
      </c>
      <c r="O41" s="643">
        <v>0.04631049711319627</v>
      </c>
      <c r="P41" s="601" t="s">
        <v>646</v>
      </c>
      <c r="R41" s="601" t="s">
        <v>645</v>
      </c>
      <c r="S41" s="620">
        <v>139133755</v>
      </c>
      <c r="U41" s="663">
        <v>0.02186175535912267</v>
      </c>
      <c r="V41" s="555">
        <f t="shared" si="4"/>
        <v>1540335559.093065</v>
      </c>
    </row>
    <row r="42" spans="1:22" s="601" customFormat="1" ht="15.75" customHeight="1">
      <c r="A42" s="510"/>
      <c r="B42" s="511"/>
      <c r="C42" s="644"/>
      <c r="D42" s="645"/>
      <c r="E42" s="646"/>
      <c r="F42" s="666" t="s">
        <v>57</v>
      </c>
      <c r="G42" s="709">
        <f t="shared" si="2"/>
        <v>111370206.79763895</v>
      </c>
      <c r="H42" s="522">
        <v>12</v>
      </c>
      <c r="I42" s="708">
        <v>1336442481.5716674</v>
      </c>
      <c r="J42" s="662"/>
      <c r="K42" s="640">
        <f>SUM(M42/M45)</f>
        <v>0.011927840353546706</v>
      </c>
      <c r="L42" s="641" t="s">
        <v>58</v>
      </c>
      <c r="M42" s="642">
        <v>436483708</v>
      </c>
      <c r="N42" s="618">
        <f t="shared" si="3"/>
        <v>0</v>
      </c>
      <c r="O42" s="643">
        <v>0.009145855859892143</v>
      </c>
      <c r="P42" s="601" t="s">
        <v>647</v>
      </c>
      <c r="R42" s="601" t="s">
        <v>646</v>
      </c>
      <c r="U42" s="663">
        <v>0.018967930988271983</v>
      </c>
      <c r="V42" s="555">
        <f t="shared" si="4"/>
        <v>1336442481.5716674</v>
      </c>
    </row>
    <row r="43" spans="1:22" s="601" customFormat="1" ht="15.75" customHeight="1">
      <c r="A43" s="510"/>
      <c r="B43" s="511"/>
      <c r="C43" s="644"/>
      <c r="D43" s="645"/>
      <c r="E43" s="646"/>
      <c r="F43" s="666" t="s">
        <v>45</v>
      </c>
      <c r="G43" s="709">
        <f t="shared" si="2"/>
        <v>1048575529.4050959</v>
      </c>
      <c r="H43" s="522">
        <v>12</v>
      </c>
      <c r="I43" s="708">
        <v>12582906352.86115</v>
      </c>
      <c r="J43" s="662"/>
      <c r="K43" s="640">
        <f>SUM(M43/M45)</f>
        <v>0.1578946699208779</v>
      </c>
      <c r="L43" s="641" t="s">
        <v>45</v>
      </c>
      <c r="M43" s="642">
        <v>5777948812</v>
      </c>
      <c r="N43" s="618">
        <f t="shared" si="3"/>
        <v>0</v>
      </c>
      <c r="O43" s="643">
        <v>0.13525975357482328</v>
      </c>
      <c r="P43" s="601" t="s">
        <v>648</v>
      </c>
      <c r="R43" s="601" t="s">
        <v>647</v>
      </c>
      <c r="U43" s="663">
        <v>0.17858733362941256</v>
      </c>
      <c r="V43" s="555">
        <f t="shared" si="4"/>
        <v>12582906352.86115</v>
      </c>
    </row>
    <row r="44" spans="1:22" s="601" customFormat="1" ht="15.75" customHeight="1">
      <c r="A44" s="510"/>
      <c r="B44" s="511"/>
      <c r="C44" s="644"/>
      <c r="D44" s="645"/>
      <c r="E44" s="646"/>
      <c r="F44" s="666" t="s">
        <v>59</v>
      </c>
      <c r="G44" s="709">
        <f t="shared" si="2"/>
        <v>421054648.4583435</v>
      </c>
      <c r="H44" s="522">
        <v>12</v>
      </c>
      <c r="I44" s="708">
        <v>5052655781.500122</v>
      </c>
      <c r="J44" s="662"/>
      <c r="K44" s="640">
        <f>SUM(M44/M45)</f>
        <v>0.026047557205716942</v>
      </c>
      <c r="L44" s="641" t="s">
        <v>649</v>
      </c>
      <c r="M44" s="672">
        <v>953176268</v>
      </c>
      <c r="N44" s="618">
        <f t="shared" si="3"/>
        <v>0</v>
      </c>
      <c r="O44" s="643">
        <v>0.03477778058697117</v>
      </c>
      <c r="P44" s="601" t="s">
        <v>650</v>
      </c>
      <c r="R44" s="601" t="s">
        <v>648</v>
      </c>
      <c r="U44" s="663">
        <v>0.0717115981364802</v>
      </c>
      <c r="V44" s="555">
        <f t="shared" si="4"/>
        <v>5052655781.500122</v>
      </c>
    </row>
    <row r="45" spans="1:22" s="601" customFormat="1" ht="15.75" customHeight="1">
      <c r="A45" s="514"/>
      <c r="B45" s="515" t="s">
        <v>20</v>
      </c>
      <c r="C45" s="652"/>
      <c r="D45" s="653"/>
      <c r="E45" s="516" t="s">
        <v>20</v>
      </c>
      <c r="F45" s="527" t="s">
        <v>60</v>
      </c>
      <c r="G45" s="520"/>
      <c r="H45" s="520"/>
      <c r="I45" s="712">
        <f>+C28</f>
        <v>70458000000</v>
      </c>
      <c r="J45" s="560">
        <v>52504996000</v>
      </c>
      <c r="K45" s="640">
        <f>SUM(K28:K44)</f>
        <v>1</v>
      </c>
      <c r="L45" s="632" t="s">
        <v>622</v>
      </c>
      <c r="M45" s="657">
        <f>SUM(M28:M44)</f>
        <v>36593691319</v>
      </c>
      <c r="N45" s="658">
        <f>SUM(N28:N44)</f>
        <v>0</v>
      </c>
      <c r="O45" s="643">
        <v>1</v>
      </c>
      <c r="P45" s="601" t="s">
        <v>651</v>
      </c>
      <c r="Q45" s="620">
        <v>858552198</v>
      </c>
      <c r="R45" s="601" t="s">
        <v>652</v>
      </c>
      <c r="S45" s="620">
        <v>731452</v>
      </c>
      <c r="U45" s="673"/>
      <c r="V45" s="555">
        <f>SUM(V28:V44)</f>
        <v>70458000000.00002</v>
      </c>
    </row>
    <row r="46" spans="1:19" s="601" customFormat="1" ht="15.75" customHeight="1">
      <c r="A46" s="502" t="s">
        <v>61</v>
      </c>
      <c r="B46" s="503"/>
      <c r="C46" s="627">
        <f>SUM(C47)</f>
        <v>9360000000</v>
      </c>
      <c r="D46" s="628">
        <f>SUM(D47)</f>
        <v>9360000000</v>
      </c>
      <c r="E46" s="504">
        <f>C46-D46</f>
        <v>0</v>
      </c>
      <c r="F46" s="505"/>
      <c r="G46" s="530"/>
      <c r="H46" s="530"/>
      <c r="I46" s="531"/>
      <c r="J46" s="522"/>
      <c r="L46" s="620"/>
      <c r="M46" s="632" t="s">
        <v>62</v>
      </c>
      <c r="N46" s="633"/>
      <c r="O46" s="620"/>
      <c r="P46" s="601" t="s">
        <v>63</v>
      </c>
      <c r="Q46" s="620">
        <f>136126680</f>
        <v>136126680</v>
      </c>
      <c r="R46" s="601" t="s">
        <v>64</v>
      </c>
      <c r="S46" s="620">
        <v>240000</v>
      </c>
    </row>
    <row r="47" spans="1:21" s="601" customFormat="1" ht="15.75" customHeight="1">
      <c r="A47" s="510"/>
      <c r="B47" s="507" t="s">
        <v>65</v>
      </c>
      <c r="C47" s="634">
        <f>+D47</f>
        <v>9360000000</v>
      </c>
      <c r="D47" s="635">
        <v>9360000000</v>
      </c>
      <c r="E47" s="508">
        <f>C47-D47</f>
        <v>0</v>
      </c>
      <c r="F47" s="532" t="s">
        <v>653</v>
      </c>
      <c r="G47" s="509">
        <f>I47/H47</f>
        <v>625000</v>
      </c>
      <c r="H47" s="509">
        <v>12</v>
      </c>
      <c r="I47" s="674">
        <v>7500000</v>
      </c>
      <c r="J47" s="648"/>
      <c r="K47" s="625"/>
      <c r="L47" s="523"/>
      <c r="M47" s="522"/>
      <c r="N47" s="522"/>
      <c r="O47" s="620"/>
      <c r="P47" s="601" t="s">
        <v>66</v>
      </c>
      <c r="Q47" s="603">
        <v>82316600</v>
      </c>
      <c r="S47" s="620">
        <f>SUM(S9:S46)</f>
        <v>8879877164</v>
      </c>
      <c r="U47" s="620"/>
    </row>
    <row r="48" spans="1:19" s="601" customFormat="1" ht="15.75" customHeight="1">
      <c r="A48" s="510"/>
      <c r="B48" s="511"/>
      <c r="C48" s="664"/>
      <c r="D48" s="665"/>
      <c r="E48" s="525"/>
      <c r="F48" s="675" t="s">
        <v>68</v>
      </c>
      <c r="G48" s="648">
        <f>I48/H48</f>
        <v>155000</v>
      </c>
      <c r="H48" s="648">
        <v>12</v>
      </c>
      <c r="I48" s="676">
        <v>1860000</v>
      </c>
      <c r="J48" s="648"/>
      <c r="K48" s="625"/>
      <c r="L48" s="522"/>
      <c r="M48" s="522"/>
      <c r="N48" s="522"/>
      <c r="O48" s="620"/>
      <c r="P48" s="601" t="s">
        <v>46</v>
      </c>
      <c r="Q48" s="603">
        <v>73016132</v>
      </c>
      <c r="S48" s="620"/>
    </row>
    <row r="49" spans="1:19" s="601" customFormat="1" ht="15.75" customHeight="1">
      <c r="A49" s="510"/>
      <c r="B49" s="511"/>
      <c r="C49" s="664"/>
      <c r="D49" s="665"/>
      <c r="E49" s="646"/>
      <c r="F49" s="675"/>
      <c r="G49" s="648"/>
      <c r="H49" s="648"/>
      <c r="I49" s="676"/>
      <c r="J49" s="648"/>
      <c r="K49" s="625"/>
      <c r="L49" s="522"/>
      <c r="M49" s="522"/>
      <c r="N49" s="522"/>
      <c r="O49" s="620"/>
      <c r="Q49" s="603">
        <f>SUM(Q9:Q48)</f>
        <v>2134430369</v>
      </c>
      <c r="S49" s="620"/>
    </row>
    <row r="50" spans="1:21" s="601" customFormat="1" ht="15.75" customHeight="1">
      <c r="A50" s="514"/>
      <c r="B50" s="515"/>
      <c r="C50" s="659"/>
      <c r="D50" s="660"/>
      <c r="E50" s="516"/>
      <c r="F50" s="517" t="s">
        <v>69</v>
      </c>
      <c r="G50" s="654"/>
      <c r="H50" s="654"/>
      <c r="I50" s="677">
        <f>SUM(I47:I49)</f>
        <v>9360000</v>
      </c>
      <c r="J50" s="656"/>
      <c r="K50" s="625"/>
      <c r="L50" s="620"/>
      <c r="M50" s="620"/>
      <c r="N50" s="620"/>
      <c r="O50" s="620"/>
      <c r="Q50" s="603"/>
      <c r="S50" s="620"/>
      <c r="U50" s="626"/>
    </row>
    <row r="51" spans="1:21" s="601" customFormat="1" ht="15.75" customHeight="1">
      <c r="A51" s="533" t="s">
        <v>70</v>
      </c>
      <c r="B51" s="534"/>
      <c r="C51" s="678">
        <f>SUM(C52+C54)</f>
        <v>2045000000</v>
      </c>
      <c r="D51" s="679">
        <f>SUM(D52+D54)</f>
        <v>2045000000</v>
      </c>
      <c r="E51" s="535">
        <f>C51-D51</f>
        <v>0</v>
      </c>
      <c r="F51" s="993"/>
      <c r="G51" s="993"/>
      <c r="H51" s="993"/>
      <c r="I51" s="994"/>
      <c r="J51" s="680"/>
      <c r="K51" s="625"/>
      <c r="L51" s="620"/>
      <c r="M51" s="620"/>
      <c r="N51" s="620"/>
      <c r="O51" s="620"/>
      <c r="Q51" s="603"/>
      <c r="S51" s="620"/>
      <c r="U51" s="626"/>
    </row>
    <row r="52" spans="1:20" s="601" customFormat="1" ht="15.75" customHeight="1">
      <c r="A52" s="502" t="s">
        <v>71</v>
      </c>
      <c r="B52" s="503"/>
      <c r="C52" s="627">
        <f>SUM(C53)</f>
        <v>0</v>
      </c>
      <c r="D52" s="628">
        <f>SUM(D53)</f>
        <v>0</v>
      </c>
      <c r="E52" s="504">
        <f>C52-D52</f>
        <v>0</v>
      </c>
      <c r="F52" s="993"/>
      <c r="G52" s="993"/>
      <c r="H52" s="993"/>
      <c r="I52" s="994"/>
      <c r="J52" s="680"/>
      <c r="K52" s="625"/>
      <c r="L52" s="620"/>
      <c r="M52" s="620"/>
      <c r="N52" s="620"/>
      <c r="O52" s="620"/>
      <c r="P52" s="620"/>
      <c r="R52" s="603"/>
      <c r="T52" s="620"/>
    </row>
    <row r="53" spans="1:20" s="601" customFormat="1" ht="15.75" customHeight="1">
      <c r="A53" s="502"/>
      <c r="B53" s="503" t="s">
        <v>72</v>
      </c>
      <c r="C53" s="627">
        <v>0</v>
      </c>
      <c r="D53" s="628">
        <v>0</v>
      </c>
      <c r="E53" s="504">
        <f>C53-D53</f>
        <v>0</v>
      </c>
      <c r="F53" s="1074"/>
      <c r="G53" s="996"/>
      <c r="H53" s="996"/>
      <c r="I53" s="997"/>
      <c r="J53" s="681"/>
      <c r="L53" s="620"/>
      <c r="M53" s="620"/>
      <c r="N53" s="620"/>
      <c r="O53" s="620"/>
      <c r="P53" s="620"/>
      <c r="R53" s="603"/>
      <c r="T53" s="620"/>
    </row>
    <row r="54" spans="1:20" s="601" customFormat="1" ht="15.75" customHeight="1">
      <c r="A54" s="502" t="s">
        <v>73</v>
      </c>
      <c r="B54" s="503"/>
      <c r="C54" s="627">
        <f>SUM(C55:C64)</f>
        <v>2045000000</v>
      </c>
      <c r="D54" s="628">
        <f>SUM(D55:D64)</f>
        <v>2045000000</v>
      </c>
      <c r="E54" s="504">
        <f>C54-D54</f>
        <v>0</v>
      </c>
      <c r="F54" s="505"/>
      <c r="G54" s="530"/>
      <c r="H54" s="530"/>
      <c r="I54" s="531"/>
      <c r="J54" s="522"/>
      <c r="L54" s="620"/>
      <c r="M54" s="620"/>
      <c r="N54" s="620"/>
      <c r="O54" s="620"/>
      <c r="P54" s="620"/>
      <c r="R54" s="603"/>
      <c r="T54" s="620"/>
    </row>
    <row r="55" spans="1:20" s="601" customFormat="1" ht="15.75" customHeight="1">
      <c r="A55" s="506"/>
      <c r="B55" s="507" t="s">
        <v>74</v>
      </c>
      <c r="C55" s="634">
        <v>2045000000</v>
      </c>
      <c r="D55" s="634">
        <v>2045000000</v>
      </c>
      <c r="E55" s="508">
        <f>C55-D55</f>
        <v>0</v>
      </c>
      <c r="F55" s="536" t="s">
        <v>654</v>
      </c>
      <c r="G55" s="523"/>
      <c r="H55" s="523"/>
      <c r="I55" s="524">
        <v>1700000</v>
      </c>
      <c r="J55" s="522"/>
      <c r="K55" s="601">
        <v>961530</v>
      </c>
      <c r="L55" s="620"/>
      <c r="M55" s="620"/>
      <c r="N55" s="620"/>
      <c r="O55" s="620"/>
      <c r="P55" s="620"/>
      <c r="R55" s="603"/>
      <c r="T55" s="620"/>
    </row>
    <row r="56" spans="1:20" s="601" customFormat="1" ht="15.75" customHeight="1">
      <c r="A56" s="510"/>
      <c r="B56" s="511"/>
      <c r="C56" s="664"/>
      <c r="D56" s="665"/>
      <c r="E56" s="525"/>
      <c r="F56" s="536" t="s">
        <v>655</v>
      </c>
      <c r="G56" s="522"/>
      <c r="H56" s="522"/>
      <c r="I56" s="526">
        <v>55000</v>
      </c>
      <c r="J56" s="522"/>
      <c r="L56" s="620"/>
      <c r="M56" s="620"/>
      <c r="N56" s="620"/>
      <c r="O56" s="620"/>
      <c r="P56" s="620"/>
      <c r="R56" s="603"/>
      <c r="T56" s="620"/>
    </row>
    <row r="57" spans="1:20" s="601" customFormat="1" ht="15.75" customHeight="1">
      <c r="A57" s="510"/>
      <c r="B57" s="511"/>
      <c r="C57" s="664"/>
      <c r="D57" s="665"/>
      <c r="E57" s="525"/>
      <c r="F57" s="536" t="s">
        <v>656</v>
      </c>
      <c r="G57" s="522"/>
      <c r="H57" s="522"/>
      <c r="I57" s="526">
        <v>100000</v>
      </c>
      <c r="J57" s="522"/>
      <c r="L57" s="620"/>
      <c r="M57" s="620"/>
      <c r="N57" s="620"/>
      <c r="O57" s="620"/>
      <c r="P57" s="620"/>
      <c r="R57" s="603"/>
      <c r="T57" s="620"/>
    </row>
    <row r="58" spans="1:20" s="601" customFormat="1" ht="15.75" customHeight="1">
      <c r="A58" s="510"/>
      <c r="B58" s="511"/>
      <c r="C58" s="664"/>
      <c r="D58" s="665"/>
      <c r="E58" s="525"/>
      <c r="F58" s="536" t="s">
        <v>657</v>
      </c>
      <c r="G58" s="522"/>
      <c r="H58" s="522"/>
      <c r="I58" s="526">
        <v>90000</v>
      </c>
      <c r="J58" s="522"/>
      <c r="L58" s="620"/>
      <c r="M58" s="620"/>
      <c r="N58" s="620"/>
      <c r="O58" s="620"/>
      <c r="P58" s="620"/>
      <c r="R58" s="603"/>
      <c r="T58" s="620"/>
    </row>
    <row r="59" spans="1:20" s="601" customFormat="1" ht="15.75" customHeight="1">
      <c r="A59" s="510"/>
      <c r="B59" s="511"/>
      <c r="C59" s="664"/>
      <c r="D59" s="665"/>
      <c r="E59" s="525"/>
      <c r="F59" s="536" t="s">
        <v>658</v>
      </c>
      <c r="G59" s="522"/>
      <c r="H59" s="522"/>
      <c r="I59" s="526">
        <v>70000</v>
      </c>
      <c r="J59" s="522"/>
      <c r="L59" s="620"/>
      <c r="M59" s="620"/>
      <c r="N59" s="620"/>
      <c r="O59" s="620"/>
      <c r="P59" s="620"/>
      <c r="R59" s="603"/>
      <c r="T59" s="620"/>
    </row>
    <row r="60" spans="1:20" s="601" customFormat="1" ht="15.75" customHeight="1">
      <c r="A60" s="510"/>
      <c r="B60" s="511"/>
      <c r="C60" s="664"/>
      <c r="D60" s="665"/>
      <c r="E60" s="525"/>
      <c r="F60" s="536" t="s">
        <v>659</v>
      </c>
      <c r="G60" s="522"/>
      <c r="H60" s="522"/>
      <c r="I60" s="526">
        <v>10000</v>
      </c>
      <c r="J60" s="522"/>
      <c r="L60" s="620"/>
      <c r="M60" s="620"/>
      <c r="N60" s="620"/>
      <c r="O60" s="620"/>
      <c r="P60" s="620"/>
      <c r="R60" s="603"/>
      <c r="T60" s="620"/>
    </row>
    <row r="61" spans="1:20" s="601" customFormat="1" ht="15.75" customHeight="1">
      <c r="A61" s="510"/>
      <c r="B61" s="511"/>
      <c r="C61" s="664"/>
      <c r="D61" s="665"/>
      <c r="E61" s="525"/>
      <c r="F61" s="536" t="s">
        <v>660</v>
      </c>
      <c r="G61" s="522"/>
      <c r="H61" s="522"/>
      <c r="I61" s="526">
        <v>20000</v>
      </c>
      <c r="J61" s="522"/>
      <c r="L61" s="620"/>
      <c r="M61" s="620"/>
      <c r="N61" s="620"/>
      <c r="O61" s="620"/>
      <c r="P61" s="620"/>
      <c r="R61" s="603"/>
      <c r="T61" s="620"/>
    </row>
    <row r="62" spans="1:20" s="601" customFormat="1" ht="15.75" customHeight="1">
      <c r="A62" s="510"/>
      <c r="B62" s="511"/>
      <c r="C62" s="664"/>
      <c r="D62" s="665"/>
      <c r="E62" s="525"/>
      <c r="F62" s="536"/>
      <c r="G62" s="522"/>
      <c r="H62" s="522"/>
      <c r="I62" s="526"/>
      <c r="J62" s="522"/>
      <c r="L62" s="620"/>
      <c r="M62" s="620"/>
      <c r="N62" s="620"/>
      <c r="O62" s="620"/>
      <c r="P62" s="620"/>
      <c r="R62" s="603"/>
      <c r="T62" s="620"/>
    </row>
    <row r="63" spans="1:20" s="601" customFormat="1" ht="15.75" customHeight="1">
      <c r="A63" s="510"/>
      <c r="B63" s="511"/>
      <c r="C63" s="664"/>
      <c r="D63" s="660"/>
      <c r="E63" s="525"/>
      <c r="F63" s="563" t="s">
        <v>661</v>
      </c>
      <c r="G63" s="522"/>
      <c r="H63" s="522"/>
      <c r="I63" s="560">
        <f>SUM(I55:I62)</f>
        <v>2045000</v>
      </c>
      <c r="J63" s="522"/>
      <c r="L63" s="620"/>
      <c r="M63" s="620"/>
      <c r="N63" s="620"/>
      <c r="O63" s="620"/>
      <c r="P63" s="620"/>
      <c r="R63" s="603"/>
      <c r="T63" s="620"/>
    </row>
    <row r="64" spans="1:20" s="601" customFormat="1" ht="15.75" customHeight="1">
      <c r="A64" s="506"/>
      <c r="B64" s="507" t="s">
        <v>76</v>
      </c>
      <c r="C64" s="634">
        <v>0</v>
      </c>
      <c r="D64" s="635">
        <v>0</v>
      </c>
      <c r="E64" s="508">
        <v>0</v>
      </c>
      <c r="F64" s="543"/>
      <c r="G64" s="523"/>
      <c r="H64" s="523"/>
      <c r="I64" s="524"/>
      <c r="J64" s="522"/>
      <c r="L64" s="620"/>
      <c r="M64" s="620"/>
      <c r="N64" s="620"/>
      <c r="O64" s="620"/>
      <c r="P64" s="620"/>
      <c r="R64" s="603"/>
      <c r="T64" s="620"/>
    </row>
    <row r="65" spans="1:21" s="601" customFormat="1" ht="15.75" customHeight="1">
      <c r="A65" s="544" t="s">
        <v>77</v>
      </c>
      <c r="B65" s="545"/>
      <c r="C65" s="652">
        <f>C66+C68+C71</f>
        <v>7972000000</v>
      </c>
      <c r="D65" s="653">
        <f>D66+D68+D71</f>
        <v>7972000000</v>
      </c>
      <c r="E65" s="516">
        <f>C65-D65</f>
        <v>0</v>
      </c>
      <c r="F65" s="519"/>
      <c r="G65" s="520"/>
      <c r="H65" s="520"/>
      <c r="I65" s="521"/>
      <c r="J65" s="522"/>
      <c r="L65" s="620"/>
      <c r="M65" s="620"/>
      <c r="N65" s="620"/>
      <c r="O65" s="620"/>
      <c r="P65" s="620"/>
      <c r="R65" s="603"/>
      <c r="T65" s="620"/>
      <c r="U65" s="626"/>
    </row>
    <row r="66" spans="1:20" s="601" customFormat="1" ht="15.75" customHeight="1">
      <c r="A66" s="502" t="s">
        <v>78</v>
      </c>
      <c r="B66" s="503"/>
      <c r="C66" s="627">
        <f>SUM(C67)</f>
        <v>3372000000</v>
      </c>
      <c r="D66" s="628">
        <f>SUM(D67)</f>
        <v>3372000000</v>
      </c>
      <c r="E66" s="504">
        <v>0</v>
      </c>
      <c r="F66" s="505"/>
      <c r="G66" s="530"/>
      <c r="H66" s="530"/>
      <c r="I66" s="531"/>
      <c r="J66" s="522"/>
      <c r="L66" s="620"/>
      <c r="M66" s="620"/>
      <c r="N66" s="620"/>
      <c r="O66" s="620"/>
      <c r="P66" s="620"/>
      <c r="R66" s="603"/>
      <c r="T66" s="620"/>
    </row>
    <row r="67" spans="1:20" s="601" customFormat="1" ht="15.75" customHeight="1">
      <c r="A67" s="682"/>
      <c r="B67" s="538" t="s">
        <v>79</v>
      </c>
      <c r="C67" s="683">
        <v>3372000000</v>
      </c>
      <c r="D67" s="684">
        <v>3372000000</v>
      </c>
      <c r="E67" s="539">
        <f>C67-D67</f>
        <v>0</v>
      </c>
      <c r="F67" s="540" t="s">
        <v>80</v>
      </c>
      <c r="G67" s="541"/>
      <c r="H67" s="541"/>
      <c r="I67" s="542">
        <f>+C67/1000</f>
        <v>3372000</v>
      </c>
      <c r="J67" s="522"/>
      <c r="L67" s="620"/>
      <c r="M67" s="620"/>
      <c r="N67" s="620"/>
      <c r="O67" s="620"/>
      <c r="P67" s="620"/>
      <c r="R67" s="603"/>
      <c r="T67" s="620"/>
    </row>
    <row r="68" spans="1:20" s="601" customFormat="1" ht="15.75" customHeight="1">
      <c r="A68" s="514" t="s">
        <v>81</v>
      </c>
      <c r="B68" s="515"/>
      <c r="C68" s="659">
        <f>SUM(C69:C70)</f>
        <v>2800000000</v>
      </c>
      <c r="D68" s="660">
        <f>SUM(D69:D70)</f>
        <v>2800000000</v>
      </c>
      <c r="E68" s="518">
        <f>SUM(E69:E69)</f>
        <v>0</v>
      </c>
      <c r="F68" s="519" t="s">
        <v>20</v>
      </c>
      <c r="G68" s="520"/>
      <c r="H68" s="520"/>
      <c r="I68" s="521"/>
      <c r="J68" s="522"/>
      <c r="L68" s="620"/>
      <c r="M68" s="620"/>
      <c r="N68" s="620"/>
      <c r="O68" s="620"/>
      <c r="P68" s="620"/>
      <c r="R68" s="603"/>
      <c r="T68" s="620"/>
    </row>
    <row r="69" spans="1:20" s="601" customFormat="1" ht="15.75" customHeight="1">
      <c r="A69" s="506"/>
      <c r="B69" s="503" t="s">
        <v>82</v>
      </c>
      <c r="C69" s="627">
        <v>2800000000</v>
      </c>
      <c r="D69" s="627">
        <v>2800000000</v>
      </c>
      <c r="E69" s="504">
        <f>C69-D69</f>
        <v>0</v>
      </c>
      <c r="F69" s="505" t="s">
        <v>662</v>
      </c>
      <c r="G69" s="530"/>
      <c r="H69" s="530"/>
      <c r="I69" s="531">
        <f>+C69/1000</f>
        <v>2800000</v>
      </c>
      <c r="J69" s="522"/>
      <c r="L69" s="620"/>
      <c r="M69" s="620"/>
      <c r="N69" s="620"/>
      <c r="O69" s="620"/>
      <c r="P69" s="620"/>
      <c r="R69" s="603"/>
      <c r="T69" s="620"/>
    </row>
    <row r="70" spans="1:20" s="601" customFormat="1" ht="15.75" customHeight="1">
      <c r="A70" s="514"/>
      <c r="B70" s="503" t="s">
        <v>83</v>
      </c>
      <c r="C70" s="627">
        <v>0</v>
      </c>
      <c r="D70" s="628">
        <v>0</v>
      </c>
      <c r="E70" s="504">
        <f>C70-D70</f>
        <v>0</v>
      </c>
      <c r="F70" s="505"/>
      <c r="G70" s="530"/>
      <c r="H70" s="530"/>
      <c r="I70" s="531"/>
      <c r="J70" s="522"/>
      <c r="L70" s="620"/>
      <c r="M70" s="620"/>
      <c r="N70" s="620"/>
      <c r="O70" s="620"/>
      <c r="P70" s="620"/>
      <c r="R70" s="603"/>
      <c r="T70" s="620"/>
    </row>
    <row r="71" spans="1:20" s="601" customFormat="1" ht="15.75" customHeight="1">
      <c r="A71" s="502" t="s">
        <v>84</v>
      </c>
      <c r="B71" s="503"/>
      <c r="C71" s="627">
        <f>SUM(C72:C74)</f>
        <v>1800000000</v>
      </c>
      <c r="D71" s="628">
        <f>SUM(D72:D74)</f>
        <v>1800000000</v>
      </c>
      <c r="E71" s="504">
        <f>C71-D71</f>
        <v>0</v>
      </c>
      <c r="F71" s="505"/>
      <c r="G71" s="530"/>
      <c r="H71" s="530"/>
      <c r="I71" s="531"/>
      <c r="J71" s="522"/>
      <c r="L71" s="620"/>
      <c r="M71" s="620"/>
      <c r="N71" s="620"/>
      <c r="O71" s="620"/>
      <c r="P71" s="620"/>
      <c r="R71" s="603"/>
      <c r="T71" s="620"/>
    </row>
    <row r="72" spans="1:20" s="601" customFormat="1" ht="15.75" customHeight="1">
      <c r="A72" s="506"/>
      <c r="B72" s="503" t="s">
        <v>85</v>
      </c>
      <c r="C72" s="627">
        <v>1800000000</v>
      </c>
      <c r="D72" s="627">
        <v>1800000000</v>
      </c>
      <c r="E72" s="504">
        <f>C72-D72</f>
        <v>0</v>
      </c>
      <c r="F72" s="505" t="s">
        <v>86</v>
      </c>
      <c r="G72" s="530">
        <f>SUM(I72/H72)</f>
        <v>150000</v>
      </c>
      <c r="H72" s="530">
        <v>12</v>
      </c>
      <c r="I72" s="531">
        <v>1800000</v>
      </c>
      <c r="J72" s="522"/>
      <c r="L72" s="620"/>
      <c r="M72" s="620"/>
      <c r="N72" s="620"/>
      <c r="O72" s="620"/>
      <c r="P72" s="620"/>
      <c r="R72" s="603"/>
      <c r="T72" s="620"/>
    </row>
    <row r="73" spans="1:20" s="601" customFormat="1" ht="15.75" customHeight="1">
      <c r="A73" s="510"/>
      <c r="B73" s="503" t="s">
        <v>87</v>
      </c>
      <c r="C73" s="627">
        <v>0</v>
      </c>
      <c r="D73" s="628">
        <v>0</v>
      </c>
      <c r="E73" s="504">
        <v>0</v>
      </c>
      <c r="F73" s="505"/>
      <c r="G73" s="530"/>
      <c r="H73" s="530"/>
      <c r="I73" s="531"/>
      <c r="J73" s="522"/>
      <c r="L73" s="620"/>
      <c r="M73" s="620"/>
      <c r="N73" s="620"/>
      <c r="O73" s="620"/>
      <c r="P73" s="620"/>
      <c r="R73" s="603"/>
      <c r="T73" s="620"/>
    </row>
    <row r="74" spans="1:20" s="601" customFormat="1" ht="15.75" customHeight="1">
      <c r="A74" s="514"/>
      <c r="B74" s="503" t="s">
        <v>88</v>
      </c>
      <c r="C74" s="627">
        <f>I74</f>
        <v>0</v>
      </c>
      <c r="D74" s="628">
        <f>J74</f>
        <v>0</v>
      </c>
      <c r="E74" s="508">
        <f>C74-D74</f>
        <v>0</v>
      </c>
      <c r="F74" s="505"/>
      <c r="G74" s="530"/>
      <c r="H74" s="530"/>
      <c r="I74" s="531"/>
      <c r="J74" s="522"/>
      <c r="L74" s="620"/>
      <c r="M74" s="620"/>
      <c r="N74" s="620"/>
      <c r="O74" s="620"/>
      <c r="P74" s="620"/>
      <c r="R74" s="603"/>
      <c r="T74" s="620"/>
    </row>
    <row r="75" spans="1:21" s="601" customFormat="1" ht="15.75" customHeight="1">
      <c r="A75" s="533" t="s">
        <v>89</v>
      </c>
      <c r="B75" s="503"/>
      <c r="C75" s="678">
        <f>SUM(C76+C79+C83)</f>
        <v>0</v>
      </c>
      <c r="D75" s="679">
        <f>SUM(D76+D79+D83)</f>
        <v>0</v>
      </c>
      <c r="E75" s="535">
        <f>C75-D75</f>
        <v>0</v>
      </c>
      <c r="F75" s="505"/>
      <c r="G75" s="530"/>
      <c r="H75" s="530"/>
      <c r="I75" s="531"/>
      <c r="J75" s="522"/>
      <c r="L75" s="620"/>
      <c r="M75" s="620"/>
      <c r="N75" s="620"/>
      <c r="O75" s="620"/>
      <c r="P75" s="620"/>
      <c r="R75" s="603"/>
      <c r="T75" s="620"/>
      <c r="U75" s="626"/>
    </row>
    <row r="76" spans="1:20" s="601" customFormat="1" ht="15.75" customHeight="1">
      <c r="A76" s="514" t="s">
        <v>90</v>
      </c>
      <c r="B76" s="515"/>
      <c r="C76" s="659">
        <f>SUM(C77:C78)</f>
        <v>0</v>
      </c>
      <c r="D76" s="660">
        <f>SUM(D77:D78)</f>
        <v>0</v>
      </c>
      <c r="E76" s="508">
        <f>C76-D76</f>
        <v>0</v>
      </c>
      <c r="F76" s="519"/>
      <c r="G76" s="520"/>
      <c r="H76" s="520"/>
      <c r="I76" s="521"/>
      <c r="J76" s="522"/>
      <c r="L76" s="620"/>
      <c r="M76" s="620"/>
      <c r="N76" s="620"/>
      <c r="O76" s="620"/>
      <c r="P76" s="620"/>
      <c r="R76" s="603"/>
      <c r="T76" s="620"/>
    </row>
    <row r="77" spans="1:20" s="601" customFormat="1" ht="15.75" customHeight="1">
      <c r="A77" s="506"/>
      <c r="B77" s="503" t="s">
        <v>91</v>
      </c>
      <c r="C77" s="627">
        <f>I77</f>
        <v>0</v>
      </c>
      <c r="D77" s="628">
        <f>J77</f>
        <v>0</v>
      </c>
      <c r="E77" s="508">
        <f>C77-D77</f>
        <v>0</v>
      </c>
      <c r="F77" s="505"/>
      <c r="G77" s="530"/>
      <c r="H77" s="530"/>
      <c r="I77" s="531"/>
      <c r="J77" s="522"/>
      <c r="L77" s="620"/>
      <c r="M77" s="620"/>
      <c r="N77" s="620"/>
      <c r="O77" s="620"/>
      <c r="P77" s="620"/>
      <c r="R77" s="603"/>
      <c r="T77" s="620"/>
    </row>
    <row r="78" spans="1:20" s="601" customFormat="1" ht="15.75" customHeight="1">
      <c r="A78" s="514"/>
      <c r="B78" s="503" t="s">
        <v>93</v>
      </c>
      <c r="C78" s="627">
        <v>0</v>
      </c>
      <c r="D78" s="628">
        <v>0</v>
      </c>
      <c r="E78" s="504">
        <v>0</v>
      </c>
      <c r="F78" s="505" t="s">
        <v>20</v>
      </c>
      <c r="G78" s="530"/>
      <c r="H78" s="530"/>
      <c r="I78" s="531"/>
      <c r="J78" s="522"/>
      <c r="L78" s="620"/>
      <c r="M78" s="620"/>
      <c r="N78" s="620"/>
      <c r="O78" s="620"/>
      <c r="P78" s="620"/>
      <c r="R78" s="603"/>
      <c r="T78" s="620"/>
    </row>
    <row r="79" spans="1:20" s="601" customFormat="1" ht="15.75" customHeight="1">
      <c r="A79" s="514" t="s">
        <v>94</v>
      </c>
      <c r="B79" s="515"/>
      <c r="C79" s="659">
        <f>SUM(C80:C82)</f>
        <v>0</v>
      </c>
      <c r="D79" s="660">
        <f>SUM(D80:D82)</f>
        <v>0</v>
      </c>
      <c r="E79" s="518">
        <v>0</v>
      </c>
      <c r="F79" s="519" t="s">
        <v>20</v>
      </c>
      <c r="G79" s="520"/>
      <c r="H79" s="520"/>
      <c r="I79" s="521"/>
      <c r="J79" s="522"/>
      <c r="L79" s="620"/>
      <c r="M79" s="620"/>
      <c r="N79" s="620"/>
      <c r="O79" s="620"/>
      <c r="P79" s="620"/>
      <c r="R79" s="603"/>
      <c r="T79" s="620"/>
    </row>
    <row r="80" spans="1:20" s="601" customFormat="1" ht="15.75" customHeight="1">
      <c r="A80" s="506"/>
      <c r="B80" s="503" t="s">
        <v>663</v>
      </c>
      <c r="C80" s="627">
        <v>0</v>
      </c>
      <c r="D80" s="628">
        <v>0</v>
      </c>
      <c r="E80" s="504">
        <v>0</v>
      </c>
      <c r="F80" s="505"/>
      <c r="G80" s="530"/>
      <c r="H80" s="530"/>
      <c r="I80" s="531"/>
      <c r="J80" s="522"/>
      <c r="L80" s="620"/>
      <c r="M80" s="620"/>
      <c r="N80" s="620"/>
      <c r="O80" s="620"/>
      <c r="P80" s="620"/>
      <c r="R80" s="603"/>
      <c r="T80" s="620"/>
    </row>
    <row r="81" spans="1:20" s="601" customFormat="1" ht="15.75" customHeight="1">
      <c r="A81" s="510"/>
      <c r="B81" s="503" t="s">
        <v>664</v>
      </c>
      <c r="C81" s="627">
        <v>0</v>
      </c>
      <c r="D81" s="628">
        <v>0</v>
      </c>
      <c r="E81" s="504">
        <v>0</v>
      </c>
      <c r="F81" s="505" t="s">
        <v>20</v>
      </c>
      <c r="G81" s="530"/>
      <c r="H81" s="530"/>
      <c r="I81" s="531"/>
      <c r="J81" s="522"/>
      <c r="L81" s="620"/>
      <c r="M81" s="620"/>
      <c r="N81" s="620"/>
      <c r="O81" s="620"/>
      <c r="P81" s="620"/>
      <c r="R81" s="603"/>
      <c r="T81" s="620"/>
    </row>
    <row r="82" spans="1:20" s="601" customFormat="1" ht="15.75" customHeight="1">
      <c r="A82" s="514"/>
      <c r="B82" s="503" t="s">
        <v>665</v>
      </c>
      <c r="C82" s="627">
        <v>0</v>
      </c>
      <c r="D82" s="628">
        <v>0</v>
      </c>
      <c r="E82" s="504">
        <v>0</v>
      </c>
      <c r="F82" s="505" t="s">
        <v>20</v>
      </c>
      <c r="G82" s="530"/>
      <c r="H82" s="530"/>
      <c r="I82" s="531"/>
      <c r="J82" s="522"/>
      <c r="L82" s="620"/>
      <c r="M82" s="620"/>
      <c r="N82" s="620"/>
      <c r="O82" s="620"/>
      <c r="P82" s="620"/>
      <c r="R82" s="603"/>
      <c r="T82" s="620"/>
    </row>
    <row r="83" spans="1:20" s="601" customFormat="1" ht="15.75" customHeight="1">
      <c r="A83" s="514" t="s">
        <v>98</v>
      </c>
      <c r="B83" s="515"/>
      <c r="C83" s="659">
        <f>SUM(C84:C86)</f>
        <v>0</v>
      </c>
      <c r="D83" s="660">
        <f>SUM(D84:D86)</f>
        <v>0</v>
      </c>
      <c r="E83" s="518">
        <v>0</v>
      </c>
      <c r="F83" s="519"/>
      <c r="G83" s="520"/>
      <c r="H83" s="520"/>
      <c r="I83" s="521"/>
      <c r="J83" s="522"/>
      <c r="L83" s="620"/>
      <c r="M83" s="620"/>
      <c r="N83" s="620"/>
      <c r="O83" s="620"/>
      <c r="P83" s="620"/>
      <c r="R83" s="603"/>
      <c r="T83" s="620"/>
    </row>
    <row r="84" spans="1:20" s="601" customFormat="1" ht="15.75" customHeight="1">
      <c r="A84" s="506"/>
      <c r="B84" s="503" t="s">
        <v>99</v>
      </c>
      <c r="C84" s="627">
        <v>0</v>
      </c>
      <c r="D84" s="628">
        <v>0</v>
      </c>
      <c r="E84" s="504">
        <v>0</v>
      </c>
      <c r="F84" s="505"/>
      <c r="G84" s="530"/>
      <c r="H84" s="530"/>
      <c r="I84" s="531"/>
      <c r="J84" s="522"/>
      <c r="L84" s="620"/>
      <c r="M84" s="620"/>
      <c r="N84" s="620"/>
      <c r="O84" s="620"/>
      <c r="P84" s="620"/>
      <c r="R84" s="603"/>
      <c r="T84" s="620"/>
    </row>
    <row r="85" spans="1:20" s="601" customFormat="1" ht="15.75" customHeight="1">
      <c r="A85" s="510"/>
      <c r="B85" s="503" t="s">
        <v>100</v>
      </c>
      <c r="C85" s="627">
        <v>0</v>
      </c>
      <c r="D85" s="628">
        <v>0</v>
      </c>
      <c r="E85" s="504">
        <v>0</v>
      </c>
      <c r="F85" s="505"/>
      <c r="G85" s="530"/>
      <c r="H85" s="530"/>
      <c r="I85" s="531"/>
      <c r="J85" s="522"/>
      <c r="L85" s="620"/>
      <c r="M85" s="620"/>
      <c r="N85" s="620"/>
      <c r="O85" s="620"/>
      <c r="P85" s="620"/>
      <c r="R85" s="603"/>
      <c r="T85" s="620"/>
    </row>
    <row r="86" spans="1:20" s="601" customFormat="1" ht="15.75" customHeight="1">
      <c r="A86" s="510"/>
      <c r="B86" s="507" t="s">
        <v>101</v>
      </c>
      <c r="C86" s="634">
        <v>0</v>
      </c>
      <c r="D86" s="635">
        <v>0</v>
      </c>
      <c r="E86" s="508">
        <v>0</v>
      </c>
      <c r="F86" s="543"/>
      <c r="G86" s="523" t="s">
        <v>666</v>
      </c>
      <c r="H86" s="523"/>
      <c r="I86" s="524"/>
      <c r="J86" s="522"/>
      <c r="L86" s="620"/>
      <c r="M86" s="620"/>
      <c r="N86" s="620"/>
      <c r="O86" s="620"/>
      <c r="P86" s="620"/>
      <c r="R86" s="603"/>
      <c r="T86" s="620"/>
    </row>
    <row r="87" spans="1:20" s="601" customFormat="1" ht="15.75" customHeight="1">
      <c r="A87" s="533" t="s">
        <v>102</v>
      </c>
      <c r="B87" s="534"/>
      <c r="C87" s="678">
        <f>SUM(C88)</f>
        <v>0</v>
      </c>
      <c r="D87" s="679">
        <f>SUM(D88)</f>
        <v>0</v>
      </c>
      <c r="E87" s="535">
        <f>C87-D87</f>
        <v>0</v>
      </c>
      <c r="F87" s="505"/>
      <c r="G87" s="530"/>
      <c r="H87" s="530"/>
      <c r="I87" s="531"/>
      <c r="J87" s="522"/>
      <c r="L87" s="620"/>
      <c r="M87" s="620"/>
      <c r="N87" s="620"/>
      <c r="O87" s="620"/>
      <c r="P87" s="620"/>
      <c r="R87" s="603"/>
      <c r="T87" s="620"/>
    </row>
    <row r="88" spans="1:20" s="601" customFormat="1" ht="15.75" customHeight="1">
      <c r="A88" s="502" t="s">
        <v>103</v>
      </c>
      <c r="B88" s="503"/>
      <c r="C88" s="627">
        <f>SUM(C89:C93)</f>
        <v>0</v>
      </c>
      <c r="D88" s="628">
        <f>SUM(D89:D93)</f>
        <v>0</v>
      </c>
      <c r="E88" s="504">
        <f>C88-D88</f>
        <v>0</v>
      </c>
      <c r="F88" s="505"/>
      <c r="G88" s="530"/>
      <c r="H88" s="530"/>
      <c r="I88" s="531"/>
      <c r="J88" s="522"/>
      <c r="L88" s="620"/>
      <c r="M88" s="620"/>
      <c r="N88" s="620"/>
      <c r="O88" s="620"/>
      <c r="P88" s="620"/>
      <c r="R88" s="603"/>
      <c r="T88" s="620"/>
    </row>
    <row r="89" spans="1:20" s="601" customFormat="1" ht="15.75" customHeight="1">
      <c r="A89" s="506"/>
      <c r="B89" s="503" t="s">
        <v>104</v>
      </c>
      <c r="C89" s="627">
        <f>I89</f>
        <v>0</v>
      </c>
      <c r="D89" s="628">
        <f>J89</f>
        <v>0</v>
      </c>
      <c r="E89" s="504">
        <f>C89-D89</f>
        <v>0</v>
      </c>
      <c r="F89" s="505"/>
      <c r="G89" s="530"/>
      <c r="H89" s="530"/>
      <c r="I89" s="531"/>
      <c r="J89" s="522"/>
      <c r="L89" s="620"/>
      <c r="M89" s="620"/>
      <c r="N89" s="620"/>
      <c r="O89" s="620"/>
      <c r="P89" s="620"/>
      <c r="R89" s="603"/>
      <c r="T89" s="620"/>
    </row>
    <row r="90" spans="1:20" s="601" customFormat="1" ht="15.75" customHeight="1">
      <c r="A90" s="510"/>
      <c r="B90" s="503" t="s">
        <v>105</v>
      </c>
      <c r="C90" s="627">
        <v>0</v>
      </c>
      <c r="D90" s="628">
        <v>0</v>
      </c>
      <c r="E90" s="504">
        <v>0</v>
      </c>
      <c r="F90" s="505"/>
      <c r="G90" s="530"/>
      <c r="H90" s="530"/>
      <c r="I90" s="531"/>
      <c r="J90" s="522"/>
      <c r="L90" s="620"/>
      <c r="M90" s="620"/>
      <c r="N90" s="620"/>
      <c r="O90" s="620"/>
      <c r="P90" s="620"/>
      <c r="R90" s="603"/>
      <c r="T90" s="620"/>
    </row>
    <row r="91" spans="1:20" s="601" customFormat="1" ht="15.75" customHeight="1">
      <c r="A91" s="510"/>
      <c r="B91" s="503" t="s">
        <v>106</v>
      </c>
      <c r="C91" s="627">
        <f>I91</f>
        <v>0</v>
      </c>
      <c r="D91" s="628">
        <v>0</v>
      </c>
      <c r="E91" s="504">
        <f>C91-D91</f>
        <v>0</v>
      </c>
      <c r="F91" s="505"/>
      <c r="G91" s="530"/>
      <c r="H91" s="530"/>
      <c r="I91" s="531"/>
      <c r="J91" s="522"/>
      <c r="L91" s="620"/>
      <c r="M91" s="620"/>
      <c r="N91" s="620"/>
      <c r="O91" s="620"/>
      <c r="P91" s="620"/>
      <c r="R91" s="603"/>
      <c r="T91" s="620"/>
    </row>
    <row r="92" spans="1:20" s="601" customFormat="1" ht="15.75" customHeight="1">
      <c r="A92" s="510"/>
      <c r="B92" s="515" t="s">
        <v>107</v>
      </c>
      <c r="C92" s="659">
        <v>0</v>
      </c>
      <c r="D92" s="660">
        <v>0</v>
      </c>
      <c r="E92" s="504">
        <f>C92-D92</f>
        <v>0</v>
      </c>
      <c r="F92" s="519"/>
      <c r="G92" s="520"/>
      <c r="H92" s="520"/>
      <c r="I92" s="521"/>
      <c r="J92" s="522"/>
      <c r="L92" s="620"/>
      <c r="M92" s="620"/>
      <c r="N92" s="620"/>
      <c r="O92" s="620"/>
      <c r="P92" s="620"/>
      <c r="R92" s="603"/>
      <c r="T92" s="620"/>
    </row>
    <row r="93" spans="1:20" s="601" customFormat="1" ht="15.75" customHeight="1">
      <c r="A93" s="514"/>
      <c r="B93" s="503" t="s">
        <v>108</v>
      </c>
      <c r="C93" s="627">
        <f>I93</f>
        <v>0</v>
      </c>
      <c r="D93" s="628">
        <v>0</v>
      </c>
      <c r="E93" s="504">
        <f>C93-D93</f>
        <v>0</v>
      </c>
      <c r="F93" s="505"/>
      <c r="G93" s="520"/>
      <c r="H93" s="520"/>
      <c r="I93" s="521"/>
      <c r="J93" s="522"/>
      <c r="L93" s="620"/>
      <c r="M93" s="620"/>
      <c r="N93" s="620"/>
      <c r="O93" s="620"/>
      <c r="P93" s="620"/>
      <c r="R93" s="603"/>
      <c r="T93" s="620"/>
    </row>
    <row r="94" spans="1:20" s="601" customFormat="1" ht="15.75" customHeight="1">
      <c r="A94" s="533" t="s">
        <v>109</v>
      </c>
      <c r="B94" s="503"/>
      <c r="C94" s="678">
        <f>SUM(C95)</f>
        <v>0</v>
      </c>
      <c r="D94" s="679">
        <f>SUM(D95)</f>
        <v>0</v>
      </c>
      <c r="E94" s="535">
        <v>0</v>
      </c>
      <c r="F94" s="505"/>
      <c r="G94" s="530"/>
      <c r="H94" s="530"/>
      <c r="I94" s="531"/>
      <c r="J94" s="522"/>
      <c r="L94" s="620"/>
      <c r="M94" s="620"/>
      <c r="N94" s="620"/>
      <c r="O94" s="620"/>
      <c r="P94" s="620"/>
      <c r="R94" s="603"/>
      <c r="T94" s="620"/>
    </row>
    <row r="95" spans="1:20" s="601" customFormat="1" ht="15.75" customHeight="1">
      <c r="A95" s="514" t="s">
        <v>110</v>
      </c>
      <c r="B95" s="515"/>
      <c r="C95" s="659">
        <f>SUM(C96)</f>
        <v>0</v>
      </c>
      <c r="D95" s="660">
        <f>SUM(D96)</f>
        <v>0</v>
      </c>
      <c r="E95" s="518">
        <v>0</v>
      </c>
      <c r="F95" s="519"/>
      <c r="G95" s="520"/>
      <c r="H95" s="520"/>
      <c r="I95" s="521"/>
      <c r="J95" s="522"/>
      <c r="L95" s="620"/>
      <c r="M95" s="620"/>
      <c r="N95" s="620"/>
      <c r="O95" s="620"/>
      <c r="P95" s="620"/>
      <c r="R95" s="603"/>
      <c r="T95" s="620"/>
    </row>
    <row r="96" spans="1:20" s="601" customFormat="1" ht="15.75" customHeight="1">
      <c r="A96" s="514"/>
      <c r="B96" s="515" t="s">
        <v>111</v>
      </c>
      <c r="C96" s="659">
        <v>0</v>
      </c>
      <c r="D96" s="660">
        <v>0</v>
      </c>
      <c r="E96" s="518">
        <v>0</v>
      </c>
      <c r="F96" s="519" t="s">
        <v>667</v>
      </c>
      <c r="G96" s="520"/>
      <c r="H96" s="520"/>
      <c r="I96" s="521" t="s">
        <v>667</v>
      </c>
      <c r="J96" s="522"/>
      <c r="L96" s="620"/>
      <c r="M96" s="620"/>
      <c r="N96" s="620"/>
      <c r="O96" s="620"/>
      <c r="P96" s="620"/>
      <c r="R96" s="603"/>
      <c r="T96" s="620"/>
    </row>
    <row r="97" spans="1:20" s="601" customFormat="1" ht="15.75" customHeight="1">
      <c r="A97" s="544" t="s">
        <v>112</v>
      </c>
      <c r="B97" s="545"/>
      <c r="C97" s="652">
        <f>SUM(C98+C101)</f>
        <v>0</v>
      </c>
      <c r="D97" s="653">
        <f>SUM(D98+D101)</f>
        <v>0</v>
      </c>
      <c r="E97" s="516">
        <f>C97-D97</f>
        <v>0</v>
      </c>
      <c r="F97" s="519"/>
      <c r="G97" s="520"/>
      <c r="H97" s="520"/>
      <c r="I97" s="521"/>
      <c r="J97" s="522"/>
      <c r="L97" s="620"/>
      <c r="M97" s="620"/>
      <c r="N97" s="620"/>
      <c r="O97" s="620"/>
      <c r="P97" s="620"/>
      <c r="R97" s="603"/>
      <c r="T97" s="620"/>
    </row>
    <row r="98" spans="1:20" s="601" customFormat="1" ht="15.75" customHeight="1">
      <c r="A98" s="506" t="s">
        <v>113</v>
      </c>
      <c r="B98" s="503"/>
      <c r="C98" s="627">
        <f>SUM(C99:C100)</f>
        <v>0</v>
      </c>
      <c r="D98" s="628">
        <f>SUM(D99:D100)</f>
        <v>0</v>
      </c>
      <c r="E98" s="504">
        <f>C98-D98</f>
        <v>0</v>
      </c>
      <c r="F98" s="505"/>
      <c r="G98" s="530"/>
      <c r="H98" s="530"/>
      <c r="I98" s="531"/>
      <c r="J98" s="522"/>
      <c r="L98" s="620"/>
      <c r="M98" s="620"/>
      <c r="N98" s="620"/>
      <c r="O98" s="620"/>
      <c r="P98" s="620"/>
      <c r="R98" s="603"/>
      <c r="T98" s="620"/>
    </row>
    <row r="99" spans="1:20" s="601" customFormat="1" ht="15.75" customHeight="1">
      <c r="A99" s="510"/>
      <c r="B99" s="515" t="s">
        <v>114</v>
      </c>
      <c r="C99" s="685">
        <v>0</v>
      </c>
      <c r="D99" s="660">
        <f>40000000000-40000000000</f>
        <v>0</v>
      </c>
      <c r="E99" s="686">
        <f>C99-D99</f>
        <v>0</v>
      </c>
      <c r="F99" s="519"/>
      <c r="G99" s="520"/>
      <c r="H99" s="520"/>
      <c r="I99" s="521"/>
      <c r="J99" s="522"/>
      <c r="L99" s="620"/>
      <c r="M99" s="620"/>
      <c r="N99" s="620"/>
      <c r="O99" s="620"/>
      <c r="P99" s="620"/>
      <c r="R99" s="603"/>
      <c r="T99" s="620"/>
    </row>
    <row r="100" spans="1:20" s="601" customFormat="1" ht="15.75" customHeight="1">
      <c r="A100" s="512"/>
      <c r="B100" s="538" t="s">
        <v>115</v>
      </c>
      <c r="C100" s="683">
        <v>0</v>
      </c>
      <c r="D100" s="684">
        <v>0</v>
      </c>
      <c r="E100" s="539">
        <v>0</v>
      </c>
      <c r="F100" s="540"/>
      <c r="G100" s="541"/>
      <c r="H100" s="541"/>
      <c r="I100" s="542"/>
      <c r="J100" s="522"/>
      <c r="L100" s="620"/>
      <c r="M100" s="620"/>
      <c r="N100" s="620"/>
      <c r="O100" s="620"/>
      <c r="P100" s="620"/>
      <c r="R100" s="603"/>
      <c r="T100" s="620"/>
    </row>
    <row r="101" spans="1:20" s="601" customFormat="1" ht="15.75" customHeight="1">
      <c r="A101" s="514" t="s">
        <v>116</v>
      </c>
      <c r="B101" s="515"/>
      <c r="C101" s="659">
        <f>SUM(C102:C102)</f>
        <v>0</v>
      </c>
      <c r="D101" s="660">
        <f>SUM(D102:D102)</f>
        <v>0</v>
      </c>
      <c r="E101" s="518">
        <f>C101-D101</f>
        <v>0</v>
      </c>
      <c r="F101" s="519"/>
      <c r="G101" s="520"/>
      <c r="H101" s="520"/>
      <c r="I101" s="521"/>
      <c r="J101" s="522"/>
      <c r="L101" s="620"/>
      <c r="M101" s="620"/>
      <c r="N101" s="620"/>
      <c r="O101" s="620"/>
      <c r="P101" s="620"/>
      <c r="R101" s="603"/>
      <c r="T101" s="620"/>
    </row>
    <row r="102" spans="1:20" s="601" customFormat="1" ht="15.75" customHeight="1">
      <c r="A102" s="502"/>
      <c r="B102" s="503" t="s">
        <v>668</v>
      </c>
      <c r="C102" s="627">
        <v>0</v>
      </c>
      <c r="D102" s="628">
        <v>0</v>
      </c>
      <c r="E102" s="504">
        <f>C102-D102</f>
        <v>0</v>
      </c>
      <c r="F102" s="505"/>
      <c r="G102" s="530"/>
      <c r="H102" s="530"/>
      <c r="I102" s="531"/>
      <c r="J102" s="522"/>
      <c r="L102" s="620"/>
      <c r="M102" s="620"/>
      <c r="N102" s="620"/>
      <c r="O102" s="620"/>
      <c r="P102" s="620"/>
      <c r="R102" s="603"/>
      <c r="T102" s="620"/>
    </row>
    <row r="103" spans="1:20" s="601" customFormat="1" ht="15.75" customHeight="1">
      <c r="A103" s="544" t="s">
        <v>118</v>
      </c>
      <c r="B103" s="545"/>
      <c r="C103" s="652">
        <f>SUM(C104)</f>
        <v>0</v>
      </c>
      <c r="D103" s="653">
        <f>SUM(D104)</f>
        <v>0</v>
      </c>
      <c r="E103" s="516">
        <v>0</v>
      </c>
      <c r="F103" s="519"/>
      <c r="G103" s="520"/>
      <c r="H103" s="520"/>
      <c r="I103" s="521"/>
      <c r="J103" s="522"/>
      <c r="L103" s="620"/>
      <c r="M103" s="620"/>
      <c r="N103" s="620"/>
      <c r="O103" s="620"/>
      <c r="P103" s="620"/>
      <c r="R103" s="603"/>
      <c r="T103" s="620"/>
    </row>
    <row r="104" spans="1:20" s="601" customFormat="1" ht="15.75" customHeight="1">
      <c r="A104" s="502" t="s">
        <v>669</v>
      </c>
      <c r="B104" s="503"/>
      <c r="C104" s="627">
        <f>SUM(C105)</f>
        <v>0</v>
      </c>
      <c r="D104" s="628">
        <f>SUM(D105)</f>
        <v>0</v>
      </c>
      <c r="E104" s="504">
        <v>0</v>
      </c>
      <c r="F104" s="505"/>
      <c r="G104" s="530"/>
      <c r="H104" s="530"/>
      <c r="I104" s="531"/>
      <c r="J104" s="522"/>
      <c r="L104" s="620"/>
      <c r="M104" s="620"/>
      <c r="N104" s="620"/>
      <c r="O104" s="620"/>
      <c r="P104" s="620"/>
      <c r="R104" s="603"/>
      <c r="T104" s="620"/>
    </row>
    <row r="105" spans="1:20" s="601" customFormat="1" ht="15.75" customHeight="1">
      <c r="A105" s="506"/>
      <c r="B105" s="507" t="s">
        <v>670</v>
      </c>
      <c r="C105" s="634">
        <v>0</v>
      </c>
      <c r="D105" s="635">
        <f>73484153449-73484153449</f>
        <v>0</v>
      </c>
      <c r="E105" s="508">
        <v>0</v>
      </c>
      <c r="F105" s="543"/>
      <c r="G105" s="523"/>
      <c r="H105" s="523"/>
      <c r="I105" s="524"/>
      <c r="J105" s="522"/>
      <c r="L105" s="620"/>
      <c r="M105" s="620"/>
      <c r="N105" s="620"/>
      <c r="O105" s="620"/>
      <c r="P105" s="620"/>
      <c r="R105" s="603"/>
      <c r="T105" s="620"/>
    </row>
    <row r="106" spans="1:20" s="601" customFormat="1" ht="15.75" customHeight="1">
      <c r="A106" s="687" t="s">
        <v>119</v>
      </c>
      <c r="B106" s="688"/>
      <c r="C106" s="621">
        <f>+'[8]지출'!D181</f>
        <v>87867496560</v>
      </c>
      <c r="D106" s="622">
        <v>153830976273</v>
      </c>
      <c r="E106" s="500">
        <f>C106-D106</f>
        <v>-65963479713</v>
      </c>
      <c r="F106" s="501" t="s">
        <v>671</v>
      </c>
      <c r="G106" s="546"/>
      <c r="H106" s="546"/>
      <c r="I106" s="689">
        <f>C106</f>
        <v>87867496560</v>
      </c>
      <c r="J106" s="522"/>
      <c r="L106" s="620"/>
      <c r="M106" s="620"/>
      <c r="N106" s="620"/>
      <c r="O106" s="620"/>
      <c r="P106" s="620"/>
      <c r="R106" s="603"/>
      <c r="T106" s="620"/>
    </row>
    <row r="107" spans="1:20" s="601" customFormat="1" ht="15.75" customHeight="1">
      <c r="A107" s="690" t="s">
        <v>120</v>
      </c>
      <c r="B107" s="548"/>
      <c r="C107" s="691">
        <f>C7+C51+C65+C75+C87+C94+C97+C103+C106</f>
        <v>306035999999.54004</v>
      </c>
      <c r="D107" s="692">
        <f>D7+D51+D65+D75+D87+D94+D97+D103+D106</f>
        <v>368103000000</v>
      </c>
      <c r="E107" s="549">
        <f>C107-D107</f>
        <v>-62067000000.45996</v>
      </c>
      <c r="F107" s="540"/>
      <c r="G107" s="541"/>
      <c r="H107" s="541"/>
      <c r="I107" s="542"/>
      <c r="J107" s="522"/>
      <c r="L107" s="620"/>
      <c r="M107" s="620"/>
      <c r="N107" s="620"/>
      <c r="O107" s="620"/>
      <c r="P107" s="620"/>
      <c r="R107" s="603"/>
      <c r="T107" s="620"/>
    </row>
    <row r="108" spans="1:2" ht="13.5">
      <c r="A108" s="493"/>
      <c r="B108" s="493"/>
    </row>
    <row r="109" spans="1:4" ht="13.5">
      <c r="A109" s="493"/>
      <c r="B109" s="493"/>
      <c r="D109" s="693"/>
    </row>
    <row r="110" spans="1:4" ht="13.5">
      <c r="A110" s="493"/>
      <c r="B110" s="493"/>
      <c r="C110" s="694"/>
      <c r="D110" s="609"/>
    </row>
    <row r="113" ht="13.5">
      <c r="D113" s="695"/>
    </row>
    <row r="124" ht="13.5" customHeight="1">
      <c r="E124" s="1075"/>
    </row>
    <row r="125" ht="13.5">
      <c r="E125" s="1075"/>
    </row>
    <row r="126" ht="13.5">
      <c r="E126" s="1075"/>
    </row>
    <row r="127" ht="13.5">
      <c r="E127" s="1075"/>
    </row>
    <row r="128" ht="13.5">
      <c r="E128" s="1075"/>
    </row>
  </sheetData>
  <sheetProtection/>
  <mergeCells count="10">
    <mergeCell ref="F51:I51"/>
    <mergeCell ref="F52:I52"/>
    <mergeCell ref="F53:I53"/>
    <mergeCell ref="E124:E128"/>
    <mergeCell ref="A1:I1"/>
    <mergeCell ref="A2:I2"/>
    <mergeCell ref="C5:C6"/>
    <mergeCell ref="D5:D6"/>
    <mergeCell ref="E5:E6"/>
    <mergeCell ref="F5:I6"/>
  </mergeCells>
  <printOptions horizontalCentered="1"/>
  <pageMargins left="0.35433070866141736" right="0.35433070866141736" top="0.5905511811023623" bottom="0.5905511811023623" header="0.5118110236220472" footer="0.5118110236220472"/>
  <pageSetup fitToHeight="4" horizontalDpi="600" verticalDpi="600" orientation="landscape" paperSize="9" scale="89" r:id="rId3"/>
  <rowBreaks count="2" manualBreakCount="2">
    <brk id="67" max="8" man="1"/>
    <brk id="100" max="8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5"/>
  <sheetViews>
    <sheetView showGridLines="0" zoomScalePageLayoutView="0" workbookViewId="0" topLeftCell="A1">
      <selection activeCell="C16" sqref="C16"/>
    </sheetView>
  </sheetViews>
  <sheetFormatPr defaultColWidth="8.88671875" defaultRowHeight="13.5"/>
  <cols>
    <col min="1" max="1" width="17.99609375" style="608" customWidth="1"/>
    <col min="2" max="2" width="17.6640625" style="608" customWidth="1"/>
    <col min="3" max="3" width="18.4453125" style="729" customWidth="1"/>
    <col min="4" max="4" width="18.21484375" style="729" customWidth="1"/>
    <col min="5" max="5" width="18.3359375" style="608" bestFit="1" customWidth="1"/>
    <col min="6" max="6" width="14.5546875" style="608" customWidth="1"/>
    <col min="7" max="7" width="10.88671875" style="608" customWidth="1"/>
    <col min="8" max="8" width="6.77734375" style="608" customWidth="1"/>
    <col min="9" max="9" width="14.10546875" style="608" bestFit="1" customWidth="1"/>
    <col min="10" max="10" width="14.4453125" style="695" customWidth="1"/>
    <col min="11" max="11" width="12.99609375" style="485" customWidth="1"/>
    <col min="12" max="12" width="16.5546875" style="485" customWidth="1"/>
    <col min="13" max="13" width="7.77734375" style="485" customWidth="1"/>
    <col min="14" max="14" width="16.5546875" style="485" customWidth="1"/>
    <col min="15" max="15" width="15.3359375" style="608" customWidth="1"/>
    <col min="16" max="16" width="15.6640625" style="611" customWidth="1"/>
    <col min="17" max="17" width="18.5546875" style="608" customWidth="1"/>
    <col min="18" max="18" width="10.21484375" style="485" customWidth="1"/>
    <col min="19" max="19" width="18.88671875" style="608" customWidth="1"/>
    <col min="20" max="20" width="14.21484375" style="608" customWidth="1"/>
    <col min="21" max="21" width="11.77734375" style="608" customWidth="1"/>
    <col min="22" max="16384" width="8.88671875" style="608" customWidth="1"/>
  </cols>
  <sheetData>
    <row r="1" spans="1:5" ht="21" customHeight="1">
      <c r="A1" s="492" t="str">
        <f>+'[8]수입'!A3</f>
        <v>◎ 대전을지대학교병원</v>
      </c>
      <c r="B1" s="493"/>
      <c r="C1" s="713"/>
      <c r="D1" s="713"/>
      <c r="E1" s="493"/>
    </row>
    <row r="2" spans="1:18" s="550" customFormat="1" ht="21" customHeight="1">
      <c r="A2" s="550" t="s">
        <v>672</v>
      </c>
      <c r="C2" s="714"/>
      <c r="D2" s="714"/>
      <c r="E2" s="551"/>
      <c r="F2" s="552"/>
      <c r="G2" s="551"/>
      <c r="H2" s="551"/>
      <c r="I2" s="553" t="s">
        <v>673</v>
      </c>
      <c r="J2" s="554"/>
      <c r="K2" s="714"/>
      <c r="L2" s="714"/>
      <c r="M2" s="714"/>
      <c r="N2" s="714"/>
      <c r="P2" s="486"/>
      <c r="R2" s="714"/>
    </row>
    <row r="3" spans="1:18" s="601" customFormat="1" ht="15" customHeight="1">
      <c r="A3" s="494" t="s">
        <v>674</v>
      </c>
      <c r="B3" s="495" t="s">
        <v>675</v>
      </c>
      <c r="C3" s="1080" t="str">
        <f>+'[8]수입'!C5</f>
        <v>2020년 예산</v>
      </c>
      <c r="D3" s="1080" t="str">
        <f>+'[8]수입'!D5</f>
        <v>2019년 예산</v>
      </c>
      <c r="E3" s="1078" t="s">
        <v>676</v>
      </c>
      <c r="F3" s="1014" t="s">
        <v>1</v>
      </c>
      <c r="G3" s="1014"/>
      <c r="H3" s="1014"/>
      <c r="I3" s="1015"/>
      <c r="J3" s="1082" t="s">
        <v>677</v>
      </c>
      <c r="K3" s="491"/>
      <c r="L3" s="491"/>
      <c r="M3" s="491"/>
      <c r="N3" s="491"/>
      <c r="P3" s="603"/>
      <c r="R3" s="491"/>
    </row>
    <row r="4" spans="1:18" s="601" customFormat="1" ht="15" customHeight="1">
      <c r="A4" s="496" t="s">
        <v>2</v>
      </c>
      <c r="B4" s="497" t="s">
        <v>3</v>
      </c>
      <c r="C4" s="1081"/>
      <c r="D4" s="1081"/>
      <c r="E4" s="1079"/>
      <c r="F4" s="1016"/>
      <c r="G4" s="1016"/>
      <c r="H4" s="1016"/>
      <c r="I4" s="1017"/>
      <c r="J4" s="1082"/>
      <c r="K4" s="491"/>
      <c r="L4" s="491"/>
      <c r="M4" s="491"/>
      <c r="N4" s="491"/>
      <c r="P4" s="603"/>
      <c r="R4" s="491"/>
    </row>
    <row r="5" spans="1:19" s="601" customFormat="1" ht="15" customHeight="1">
      <c r="A5" s="498" t="s">
        <v>678</v>
      </c>
      <c r="B5" s="499"/>
      <c r="C5" s="715">
        <f>SUM(C6+C15)</f>
        <v>75096000000</v>
      </c>
      <c r="D5" s="715">
        <f>SUM(D6+D15)</f>
        <v>74059000000</v>
      </c>
      <c r="E5" s="500">
        <f>C5-D5</f>
        <v>1037000000</v>
      </c>
      <c r="F5" s="501"/>
      <c r="G5" s="546"/>
      <c r="H5" s="546"/>
      <c r="I5" s="547"/>
      <c r="J5" s="555"/>
      <c r="K5" s="491"/>
      <c r="L5" s="491"/>
      <c r="M5" s="491"/>
      <c r="N5" s="491"/>
      <c r="P5" s="603"/>
      <c r="R5" s="491"/>
      <c r="S5" s="626"/>
    </row>
    <row r="6" spans="1:19" s="601" customFormat="1" ht="15" customHeight="1">
      <c r="A6" s="502" t="s">
        <v>679</v>
      </c>
      <c r="B6" s="503"/>
      <c r="C6" s="697">
        <f>SUM(C7:C14)</f>
        <v>7800000000</v>
      </c>
      <c r="D6" s="697">
        <f>SUM(D7:D14)</f>
        <v>7800000000</v>
      </c>
      <c r="E6" s="504">
        <f aca="true" t="shared" si="0" ref="E6:E65">C6-D6</f>
        <v>0</v>
      </c>
      <c r="F6" s="505"/>
      <c r="G6" s="530"/>
      <c r="H6" s="530"/>
      <c r="I6" s="531"/>
      <c r="J6" s="555"/>
      <c r="K6" s="491"/>
      <c r="L6" s="491"/>
      <c r="M6" s="491"/>
      <c r="N6" s="491"/>
      <c r="P6" s="603"/>
      <c r="R6" s="491"/>
      <c r="S6" s="626"/>
    </row>
    <row r="7" spans="1:18" s="601" customFormat="1" ht="15" customHeight="1">
      <c r="A7" s="506"/>
      <c r="B7" s="503" t="s">
        <v>127</v>
      </c>
      <c r="C7" s="697">
        <v>0</v>
      </c>
      <c r="D7" s="697">
        <v>0</v>
      </c>
      <c r="E7" s="504">
        <f t="shared" si="0"/>
        <v>0</v>
      </c>
      <c r="F7" s="505" t="s">
        <v>20</v>
      </c>
      <c r="G7" s="530"/>
      <c r="H7" s="530"/>
      <c r="I7" s="531"/>
      <c r="J7" s="555"/>
      <c r="K7" s="491"/>
      <c r="L7" s="491"/>
      <c r="M7" s="491"/>
      <c r="N7" s="491"/>
      <c r="P7" s="603"/>
      <c r="R7" s="491"/>
    </row>
    <row r="8" spans="1:18" s="601" customFormat="1" ht="15" customHeight="1">
      <c r="A8" s="510"/>
      <c r="B8" s="503" t="s">
        <v>128</v>
      </c>
      <c r="C8" s="697">
        <v>0</v>
      </c>
      <c r="D8" s="697">
        <v>0</v>
      </c>
      <c r="E8" s="504">
        <f t="shared" si="0"/>
        <v>0</v>
      </c>
      <c r="F8" s="505" t="s">
        <v>20</v>
      </c>
      <c r="G8" s="530"/>
      <c r="H8" s="530"/>
      <c r="I8" s="531"/>
      <c r="J8" s="555"/>
      <c r="K8" s="491"/>
      <c r="L8" s="491"/>
      <c r="M8" s="491"/>
      <c r="N8" s="491"/>
      <c r="P8" s="603"/>
      <c r="R8" s="491"/>
    </row>
    <row r="9" spans="1:18" s="601" customFormat="1" ht="15" customHeight="1">
      <c r="A9" s="510"/>
      <c r="B9" s="503" t="s">
        <v>129</v>
      </c>
      <c r="C9" s="697">
        <v>7800000000</v>
      </c>
      <c r="D9" s="697">
        <v>7800000000</v>
      </c>
      <c r="E9" s="504">
        <f t="shared" si="0"/>
        <v>0</v>
      </c>
      <c r="F9" s="505" t="s">
        <v>680</v>
      </c>
      <c r="G9" s="530">
        <f>I9/H9</f>
        <v>650000</v>
      </c>
      <c r="H9" s="530">
        <v>12</v>
      </c>
      <c r="I9" s="531">
        <v>7800000</v>
      </c>
      <c r="J9" s="555"/>
      <c r="K9" s="491"/>
      <c r="L9" s="491"/>
      <c r="M9" s="491"/>
      <c r="N9" s="491"/>
      <c r="P9" s="603"/>
      <c r="R9" s="491"/>
    </row>
    <row r="10" spans="1:18" s="601" customFormat="1" ht="15" customHeight="1">
      <c r="A10" s="510"/>
      <c r="B10" s="503" t="s">
        <v>131</v>
      </c>
      <c r="C10" s="697">
        <v>0</v>
      </c>
      <c r="D10" s="697">
        <v>0</v>
      </c>
      <c r="E10" s="504">
        <f t="shared" si="0"/>
        <v>0</v>
      </c>
      <c r="F10" s="505" t="s">
        <v>681</v>
      </c>
      <c r="G10" s="530" t="s">
        <v>681</v>
      </c>
      <c r="H10" s="530" t="s">
        <v>681</v>
      </c>
      <c r="I10" s="531"/>
      <c r="J10" s="555"/>
      <c r="K10" s="491"/>
      <c r="L10" s="491"/>
      <c r="M10" s="491"/>
      <c r="N10" s="491"/>
      <c r="P10" s="603"/>
      <c r="R10" s="491"/>
    </row>
    <row r="11" spans="1:18" s="601" customFormat="1" ht="15" customHeight="1">
      <c r="A11" s="510"/>
      <c r="B11" s="503" t="s">
        <v>682</v>
      </c>
      <c r="C11" s="697">
        <v>0</v>
      </c>
      <c r="D11" s="697">
        <v>0</v>
      </c>
      <c r="E11" s="504">
        <f t="shared" si="0"/>
        <v>0</v>
      </c>
      <c r="F11" s="505"/>
      <c r="G11" s="530"/>
      <c r="H11" s="530"/>
      <c r="I11" s="531"/>
      <c r="J11" s="555"/>
      <c r="K11" s="491"/>
      <c r="L11" s="491"/>
      <c r="M11" s="491"/>
      <c r="N11" s="491"/>
      <c r="P11" s="603"/>
      <c r="R11" s="491"/>
    </row>
    <row r="12" spans="1:18" s="601" customFormat="1" ht="15" customHeight="1">
      <c r="A12" s="510"/>
      <c r="B12" s="503" t="s">
        <v>683</v>
      </c>
      <c r="C12" s="697">
        <v>0</v>
      </c>
      <c r="D12" s="697">
        <v>0</v>
      </c>
      <c r="E12" s="504">
        <f t="shared" si="0"/>
        <v>0</v>
      </c>
      <c r="F12" s="505"/>
      <c r="G12" s="530"/>
      <c r="H12" s="530"/>
      <c r="I12" s="531"/>
      <c r="J12" s="555"/>
      <c r="K12" s="491"/>
      <c r="L12" s="491"/>
      <c r="M12" s="491"/>
      <c r="N12" s="491"/>
      <c r="P12" s="603"/>
      <c r="R12" s="491"/>
    </row>
    <row r="13" spans="1:18" s="601" customFormat="1" ht="15" customHeight="1">
      <c r="A13" s="510"/>
      <c r="B13" s="503" t="s">
        <v>135</v>
      </c>
      <c r="C13" s="697">
        <v>0</v>
      </c>
      <c r="D13" s="697">
        <v>0</v>
      </c>
      <c r="E13" s="504">
        <f t="shared" si="0"/>
        <v>0</v>
      </c>
      <c r="F13" s="505"/>
      <c r="G13" s="530"/>
      <c r="H13" s="530"/>
      <c r="I13" s="531"/>
      <c r="J13" s="555"/>
      <c r="K13" s="491"/>
      <c r="L13" s="491"/>
      <c r="M13" s="491"/>
      <c r="N13" s="491"/>
      <c r="P13" s="603"/>
      <c r="R13" s="491"/>
    </row>
    <row r="14" spans="1:18" s="601" customFormat="1" ht="15" customHeight="1">
      <c r="A14" s="510"/>
      <c r="B14" s="503" t="s">
        <v>136</v>
      </c>
      <c r="C14" s="697">
        <v>0</v>
      </c>
      <c r="D14" s="697">
        <v>0</v>
      </c>
      <c r="E14" s="504">
        <f t="shared" si="0"/>
        <v>0</v>
      </c>
      <c r="F14" s="505"/>
      <c r="G14" s="530"/>
      <c r="H14" s="530"/>
      <c r="I14" s="531"/>
      <c r="J14" s="555"/>
      <c r="K14" s="491"/>
      <c r="L14" s="491"/>
      <c r="M14" s="491"/>
      <c r="N14" s="491"/>
      <c r="P14" s="603"/>
      <c r="R14" s="491"/>
    </row>
    <row r="15" spans="1:18" s="601" customFormat="1" ht="15" customHeight="1">
      <c r="A15" s="502" t="s">
        <v>684</v>
      </c>
      <c r="B15" s="503"/>
      <c r="C15" s="697">
        <f>SUM(C16:C21)</f>
        <v>67296000000</v>
      </c>
      <c r="D15" s="697">
        <f>SUM(D16:D21)</f>
        <v>66259000000</v>
      </c>
      <c r="E15" s="504">
        <f t="shared" si="0"/>
        <v>1037000000</v>
      </c>
      <c r="F15" s="505"/>
      <c r="G15" s="530"/>
      <c r="H15" s="530"/>
      <c r="I15" s="531"/>
      <c r="J15" s="555"/>
      <c r="K15" s="491"/>
      <c r="L15" s="491"/>
      <c r="M15" s="491"/>
      <c r="N15" s="491"/>
      <c r="P15" s="603"/>
      <c r="R15" s="491"/>
    </row>
    <row r="16" spans="1:18" s="601" customFormat="1" ht="15" customHeight="1">
      <c r="A16" s="556"/>
      <c r="B16" s="503" t="s">
        <v>138</v>
      </c>
      <c r="C16" s="697">
        <f>+D16*102%+80000</f>
        <v>26352800000</v>
      </c>
      <c r="D16" s="697">
        <v>25836000000</v>
      </c>
      <c r="E16" s="504">
        <f t="shared" si="0"/>
        <v>516800000</v>
      </c>
      <c r="F16" s="505" t="s">
        <v>685</v>
      </c>
      <c r="G16" s="530">
        <f aca="true" t="shared" si="1" ref="G16:G21">I16/H16</f>
        <v>2196066.6666666665</v>
      </c>
      <c r="H16" s="530">
        <v>12</v>
      </c>
      <c r="I16" s="531">
        <f aca="true" t="shared" si="2" ref="I16:I21">+C16/1000</f>
        <v>26352800</v>
      </c>
      <c r="J16" s="487">
        <f>C16+C17+C18+C20</f>
        <v>60185000000</v>
      </c>
      <c r="K16" s="557"/>
      <c r="L16" s="491"/>
      <c r="M16" s="725"/>
      <c r="N16" s="491"/>
      <c r="P16" s="603"/>
      <c r="R16" s="491"/>
    </row>
    <row r="17" spans="1:18" s="601" customFormat="1" ht="15" customHeight="1">
      <c r="A17" s="510"/>
      <c r="B17" s="503" t="s">
        <v>139</v>
      </c>
      <c r="C17" s="697">
        <f>+D17</f>
        <v>7272000000</v>
      </c>
      <c r="D17" s="697">
        <v>7272000000</v>
      </c>
      <c r="E17" s="504">
        <f t="shared" si="0"/>
        <v>0</v>
      </c>
      <c r="F17" s="505" t="s">
        <v>686</v>
      </c>
      <c r="G17" s="530">
        <f t="shared" si="1"/>
        <v>606000</v>
      </c>
      <c r="H17" s="530">
        <v>12</v>
      </c>
      <c r="I17" s="531">
        <f t="shared" si="2"/>
        <v>7272000</v>
      </c>
      <c r="J17" s="487"/>
      <c r="K17" s="557"/>
      <c r="L17" s="491"/>
      <c r="M17" s="491"/>
      <c r="N17" s="491"/>
      <c r="P17" s="603"/>
      <c r="R17" s="491"/>
    </row>
    <row r="18" spans="1:18" s="601" customFormat="1" ht="15" customHeight="1">
      <c r="A18" s="558"/>
      <c r="B18" s="503" t="s">
        <v>140</v>
      </c>
      <c r="C18" s="697">
        <f>+D18*102%</f>
        <v>26530200000</v>
      </c>
      <c r="D18" s="697">
        <v>26010000000</v>
      </c>
      <c r="E18" s="504">
        <f t="shared" si="0"/>
        <v>520200000</v>
      </c>
      <c r="F18" s="505" t="s">
        <v>687</v>
      </c>
      <c r="G18" s="530">
        <f t="shared" si="1"/>
        <v>2210850</v>
      </c>
      <c r="H18" s="530">
        <v>12</v>
      </c>
      <c r="I18" s="531">
        <f t="shared" si="2"/>
        <v>26530200</v>
      </c>
      <c r="J18" s="487"/>
      <c r="K18" s="557"/>
      <c r="L18" s="491"/>
      <c r="M18" s="491"/>
      <c r="N18" s="491"/>
      <c r="P18" s="603"/>
      <c r="R18" s="491"/>
    </row>
    <row r="19" spans="1:18" s="601" customFormat="1" ht="15" customHeight="1">
      <c r="A19" s="558"/>
      <c r="B19" s="503" t="s">
        <v>141</v>
      </c>
      <c r="C19" s="697">
        <f>+D19</f>
        <v>6516000000</v>
      </c>
      <c r="D19" s="697">
        <v>6516000000</v>
      </c>
      <c r="E19" s="504">
        <f t="shared" si="0"/>
        <v>0</v>
      </c>
      <c r="F19" s="505" t="s">
        <v>688</v>
      </c>
      <c r="G19" s="530">
        <f t="shared" si="1"/>
        <v>543000</v>
      </c>
      <c r="H19" s="530">
        <v>12</v>
      </c>
      <c r="I19" s="531">
        <f t="shared" si="2"/>
        <v>6516000</v>
      </c>
      <c r="J19" s="487"/>
      <c r="K19" s="557"/>
      <c r="L19" s="491"/>
      <c r="M19" s="491"/>
      <c r="N19" s="491"/>
      <c r="P19" s="603"/>
      <c r="R19" s="491"/>
    </row>
    <row r="20" spans="1:18" s="601" customFormat="1" ht="15" customHeight="1">
      <c r="A20" s="510"/>
      <c r="B20" s="503" t="s">
        <v>689</v>
      </c>
      <c r="C20" s="697">
        <f>+D20</f>
        <v>30000000</v>
      </c>
      <c r="D20" s="697">
        <v>30000000</v>
      </c>
      <c r="E20" s="504">
        <f t="shared" si="0"/>
        <v>0</v>
      </c>
      <c r="F20" s="505" t="s">
        <v>690</v>
      </c>
      <c r="G20" s="530">
        <f t="shared" si="1"/>
        <v>2500</v>
      </c>
      <c r="H20" s="530">
        <v>12</v>
      </c>
      <c r="I20" s="531">
        <f t="shared" si="2"/>
        <v>30000</v>
      </c>
      <c r="J20" s="487"/>
      <c r="K20" s="726"/>
      <c r="L20" s="491"/>
      <c r="M20" s="491"/>
      <c r="N20" s="491"/>
      <c r="P20" s="603"/>
      <c r="R20" s="491"/>
    </row>
    <row r="21" spans="1:18" s="601" customFormat="1" ht="15" customHeight="1">
      <c r="A21" s="514"/>
      <c r="B21" s="503" t="s">
        <v>691</v>
      </c>
      <c r="C21" s="697">
        <f>+D21</f>
        <v>595000000</v>
      </c>
      <c r="D21" s="697">
        <v>595000000</v>
      </c>
      <c r="E21" s="504">
        <f t="shared" si="0"/>
        <v>0</v>
      </c>
      <c r="F21" s="505" t="s">
        <v>692</v>
      </c>
      <c r="G21" s="530">
        <f t="shared" si="1"/>
        <v>49583.333333333336</v>
      </c>
      <c r="H21" s="530">
        <v>12</v>
      </c>
      <c r="I21" s="531">
        <f t="shared" si="2"/>
        <v>595000</v>
      </c>
      <c r="J21" s="487"/>
      <c r="K21" s="557"/>
      <c r="L21" s="491"/>
      <c r="M21" s="491"/>
      <c r="N21" s="491"/>
      <c r="P21" s="603"/>
      <c r="R21" s="491"/>
    </row>
    <row r="22" spans="1:19" s="601" customFormat="1" ht="15" customHeight="1">
      <c r="A22" s="544" t="s">
        <v>144</v>
      </c>
      <c r="B22" s="545"/>
      <c r="C22" s="716">
        <f>SUM(C23+C48+C80+C100)</f>
        <v>91376000000</v>
      </c>
      <c r="D22" s="716">
        <f>SUM(D23+D48+D80+D100)</f>
        <v>91376000000</v>
      </c>
      <c r="E22" s="516">
        <f t="shared" si="0"/>
        <v>0</v>
      </c>
      <c r="F22" s="519"/>
      <c r="G22" s="520"/>
      <c r="H22" s="520"/>
      <c r="I22" s="521"/>
      <c r="J22" s="555"/>
      <c r="K22" s="491"/>
      <c r="L22" s="491"/>
      <c r="M22" s="491"/>
      <c r="N22" s="491"/>
      <c r="P22" s="603"/>
      <c r="R22" s="491"/>
      <c r="S22" s="626"/>
    </row>
    <row r="23" spans="1:18" s="601" customFormat="1" ht="15" customHeight="1">
      <c r="A23" s="502" t="s">
        <v>693</v>
      </c>
      <c r="B23" s="503"/>
      <c r="C23" s="697">
        <f>SUM(C24:C47)</f>
        <v>13788000000</v>
      </c>
      <c r="D23" s="697">
        <f>SUM(D24:D47)</f>
        <v>13788000000</v>
      </c>
      <c r="E23" s="504">
        <f t="shared" si="0"/>
        <v>0</v>
      </c>
      <c r="F23" s="505"/>
      <c r="G23" s="530"/>
      <c r="H23" s="530"/>
      <c r="I23" s="531"/>
      <c r="J23" s="555"/>
      <c r="K23" s="491"/>
      <c r="L23" s="491"/>
      <c r="M23" s="491"/>
      <c r="N23" s="491"/>
      <c r="P23" s="603"/>
      <c r="R23" s="491"/>
    </row>
    <row r="24" spans="1:18" s="601" customFormat="1" ht="15" customHeight="1">
      <c r="A24" s="556"/>
      <c r="B24" s="507" t="s">
        <v>145</v>
      </c>
      <c r="C24" s="700">
        <v>500000000</v>
      </c>
      <c r="D24" s="701">
        <v>500000000</v>
      </c>
      <c r="E24" s="508">
        <f t="shared" si="0"/>
        <v>0</v>
      </c>
      <c r="F24" s="536" t="s">
        <v>146</v>
      </c>
      <c r="G24" s="522">
        <f>I24/H24</f>
        <v>4800</v>
      </c>
      <c r="H24" s="522">
        <v>12</v>
      </c>
      <c r="I24" s="559">
        <v>57600</v>
      </c>
      <c r="J24" s="555">
        <f>D24*3%</f>
        <v>15000000</v>
      </c>
      <c r="K24" s="491"/>
      <c r="L24" s="491"/>
      <c r="M24" s="491"/>
      <c r="N24" s="491"/>
      <c r="P24" s="603"/>
      <c r="R24" s="491"/>
    </row>
    <row r="25" spans="1:18" s="601" customFormat="1" ht="15" customHeight="1">
      <c r="A25" s="558"/>
      <c r="B25" s="511"/>
      <c r="C25" s="702"/>
      <c r="D25" s="702"/>
      <c r="E25" s="525"/>
      <c r="F25" s="536" t="s">
        <v>694</v>
      </c>
      <c r="G25" s="522">
        <f>I25/H25</f>
        <v>1100</v>
      </c>
      <c r="H25" s="522">
        <v>12</v>
      </c>
      <c r="I25" s="526">
        <v>13200</v>
      </c>
      <c r="J25" s="555"/>
      <c r="K25" s="491"/>
      <c r="L25" s="491"/>
      <c r="M25" s="491"/>
      <c r="N25" s="491"/>
      <c r="P25" s="603"/>
      <c r="R25" s="491"/>
    </row>
    <row r="26" spans="1:18" s="601" customFormat="1" ht="15" customHeight="1">
      <c r="A26" s="558"/>
      <c r="B26" s="511"/>
      <c r="C26" s="702"/>
      <c r="D26" s="702"/>
      <c r="E26" s="525"/>
      <c r="F26" s="536" t="s">
        <v>695</v>
      </c>
      <c r="G26" s="522">
        <f>I26/H26</f>
        <v>35766.666666666664</v>
      </c>
      <c r="H26" s="522">
        <v>12</v>
      </c>
      <c r="I26" s="526">
        <v>429200</v>
      </c>
      <c r="J26" s="555"/>
      <c r="K26" s="491"/>
      <c r="L26" s="491"/>
      <c r="M26" s="491"/>
      <c r="N26" s="491"/>
      <c r="P26" s="603"/>
      <c r="R26" s="491"/>
    </row>
    <row r="27" spans="1:18" s="601" customFormat="1" ht="15" customHeight="1">
      <c r="A27" s="558"/>
      <c r="B27" s="511"/>
      <c r="C27" s="702"/>
      <c r="D27" s="702"/>
      <c r="E27" s="525"/>
      <c r="F27" s="536" t="s">
        <v>147</v>
      </c>
      <c r="G27" s="522"/>
      <c r="H27" s="522"/>
      <c r="I27" s="560">
        <f>SUM(I24:I26)</f>
        <v>500000</v>
      </c>
      <c r="J27" s="555"/>
      <c r="K27" s="491"/>
      <c r="L27" s="491"/>
      <c r="M27" s="491"/>
      <c r="N27" s="491"/>
      <c r="P27" s="603"/>
      <c r="R27" s="491"/>
    </row>
    <row r="28" spans="1:18" s="601" customFormat="1" ht="15" customHeight="1">
      <c r="A28" s="558"/>
      <c r="B28" s="507" t="s">
        <v>148</v>
      </c>
      <c r="C28" s="701">
        <f>+D28</f>
        <v>3737000000</v>
      </c>
      <c r="D28" s="701">
        <v>3737000000</v>
      </c>
      <c r="E28" s="508">
        <f t="shared" si="0"/>
        <v>0</v>
      </c>
      <c r="F28" s="543" t="s">
        <v>149</v>
      </c>
      <c r="G28" s="523">
        <f>I28/H28</f>
        <v>250750</v>
      </c>
      <c r="H28" s="523">
        <v>12</v>
      </c>
      <c r="I28" s="524">
        <v>3009000</v>
      </c>
      <c r="J28" s="555">
        <f>D28*3%</f>
        <v>112110000</v>
      </c>
      <c r="K28" s="491"/>
      <c r="L28" s="491"/>
      <c r="M28" s="491"/>
      <c r="N28" s="491"/>
      <c r="P28" s="603"/>
      <c r="R28" s="491"/>
    </row>
    <row r="29" spans="1:18" s="601" customFormat="1" ht="15" customHeight="1">
      <c r="A29" s="510"/>
      <c r="B29" s="511"/>
      <c r="C29" s="702"/>
      <c r="D29" s="702"/>
      <c r="E29" s="525"/>
      <c r="F29" s="536" t="s">
        <v>150</v>
      </c>
      <c r="G29" s="522">
        <f>I29/H29</f>
        <v>26666.666666666668</v>
      </c>
      <c r="H29" s="522">
        <v>12</v>
      </c>
      <c r="I29" s="526">
        <v>320000</v>
      </c>
      <c r="J29" s="555"/>
      <c r="K29" s="491"/>
      <c r="L29" s="491"/>
      <c r="M29" s="491"/>
      <c r="N29" s="491"/>
      <c r="P29" s="603"/>
      <c r="R29" s="491"/>
    </row>
    <row r="30" spans="1:18" s="601" customFormat="1" ht="15" customHeight="1">
      <c r="A30" s="510"/>
      <c r="B30" s="511"/>
      <c r="C30" s="702"/>
      <c r="D30" s="702"/>
      <c r="E30" s="525"/>
      <c r="F30" s="536" t="s">
        <v>151</v>
      </c>
      <c r="G30" s="522">
        <f>I30/H30</f>
        <v>34000</v>
      </c>
      <c r="H30" s="522">
        <v>12</v>
      </c>
      <c r="I30" s="526">
        <v>408000</v>
      </c>
      <c r="J30" s="555"/>
      <c r="K30" s="491"/>
      <c r="L30" s="491"/>
      <c r="M30" s="491"/>
      <c r="N30" s="491"/>
      <c r="P30" s="603"/>
      <c r="R30" s="491"/>
    </row>
    <row r="31" spans="1:18" s="601" customFormat="1" ht="15" customHeight="1">
      <c r="A31" s="510"/>
      <c r="B31" s="515"/>
      <c r="C31" s="698"/>
      <c r="D31" s="698"/>
      <c r="E31" s="518"/>
      <c r="F31" s="527" t="s">
        <v>147</v>
      </c>
      <c r="G31" s="520"/>
      <c r="H31" s="520"/>
      <c r="I31" s="528">
        <f>SUM(I28:I30)</f>
        <v>3737000</v>
      </c>
      <c r="J31" s="555"/>
      <c r="K31" s="491"/>
      <c r="L31" s="491"/>
      <c r="M31" s="491"/>
      <c r="N31" s="491"/>
      <c r="P31" s="603"/>
      <c r="R31" s="491"/>
    </row>
    <row r="32" spans="1:18" s="601" customFormat="1" ht="15" customHeight="1">
      <c r="A32" s="510"/>
      <c r="B32" s="503" t="s">
        <v>696</v>
      </c>
      <c r="C32" s="697">
        <v>0</v>
      </c>
      <c r="D32" s="697">
        <v>0</v>
      </c>
      <c r="E32" s="504">
        <f t="shared" si="0"/>
        <v>0</v>
      </c>
      <c r="F32" s="505"/>
      <c r="G32" s="520"/>
      <c r="H32" s="530"/>
      <c r="I32" s="531"/>
      <c r="J32" s="555"/>
      <c r="K32" s="491"/>
      <c r="L32" s="491"/>
      <c r="M32" s="491"/>
      <c r="N32" s="491"/>
      <c r="P32" s="603"/>
      <c r="R32" s="491"/>
    </row>
    <row r="33" spans="1:18" s="601" customFormat="1" ht="15" customHeight="1">
      <c r="A33" s="512"/>
      <c r="B33" s="538" t="s">
        <v>153</v>
      </c>
      <c r="C33" s="717">
        <v>0</v>
      </c>
      <c r="D33" s="717">
        <v>0</v>
      </c>
      <c r="E33" s="539">
        <f t="shared" si="0"/>
        <v>0</v>
      </c>
      <c r="F33" s="540"/>
      <c r="G33" s="541"/>
      <c r="H33" s="541"/>
      <c r="I33" s="542"/>
      <c r="J33" s="555"/>
      <c r="K33" s="491"/>
      <c r="L33" s="491"/>
      <c r="M33" s="491"/>
      <c r="N33" s="491"/>
      <c r="P33" s="603"/>
      <c r="R33" s="491"/>
    </row>
    <row r="34" spans="1:18" s="601" customFormat="1" ht="15" customHeight="1">
      <c r="A34" s="510" t="s">
        <v>693</v>
      </c>
      <c r="B34" s="511" t="s">
        <v>697</v>
      </c>
      <c r="C34" s="702">
        <v>9436000000</v>
      </c>
      <c r="D34" s="702">
        <v>9436000000</v>
      </c>
      <c r="E34" s="525">
        <f t="shared" si="0"/>
        <v>0</v>
      </c>
      <c r="F34" s="577" t="s">
        <v>698</v>
      </c>
      <c r="G34" s="522">
        <f aca="true" t="shared" si="3" ref="G34:G39">I34/H34</f>
        <v>384416.6666666667</v>
      </c>
      <c r="H34" s="522">
        <v>12</v>
      </c>
      <c r="I34" s="526">
        <v>4613000</v>
      </c>
      <c r="J34" s="555"/>
      <c r="K34" s="491">
        <f aca="true" t="shared" si="4" ref="K34:K39">+J34*1.01</f>
        <v>0</v>
      </c>
      <c r="L34" s="491"/>
      <c r="M34" s="491"/>
      <c r="N34" s="491"/>
      <c r="P34" s="603"/>
      <c r="R34" s="491"/>
    </row>
    <row r="35" spans="1:18" s="601" customFormat="1" ht="15" customHeight="1">
      <c r="A35" s="510"/>
      <c r="B35" s="511"/>
      <c r="C35" s="702"/>
      <c r="D35" s="702"/>
      <c r="E35" s="525"/>
      <c r="F35" s="536" t="s">
        <v>699</v>
      </c>
      <c r="G35" s="522">
        <f t="shared" si="3"/>
        <v>131416.66666666666</v>
      </c>
      <c r="H35" s="522">
        <v>12</v>
      </c>
      <c r="I35" s="526">
        <v>1577000</v>
      </c>
      <c r="J35" s="555"/>
      <c r="K35" s="491">
        <f t="shared" si="4"/>
        <v>0</v>
      </c>
      <c r="L35" s="491"/>
      <c r="M35" s="491"/>
      <c r="N35" s="491"/>
      <c r="P35" s="603"/>
      <c r="R35" s="491"/>
    </row>
    <row r="36" spans="1:18" s="601" customFormat="1" ht="15" customHeight="1">
      <c r="A36" s="510"/>
      <c r="B36" s="511"/>
      <c r="C36" s="702"/>
      <c r="D36" s="702"/>
      <c r="E36" s="561"/>
      <c r="F36" s="536" t="s">
        <v>700</v>
      </c>
      <c r="G36" s="522">
        <f t="shared" si="3"/>
        <v>37500</v>
      </c>
      <c r="H36" s="522">
        <v>12</v>
      </c>
      <c r="I36" s="526">
        <v>450000</v>
      </c>
      <c r="J36" s="555"/>
      <c r="K36" s="491">
        <f t="shared" si="4"/>
        <v>0</v>
      </c>
      <c r="L36" s="491"/>
      <c r="M36" s="491"/>
      <c r="N36" s="491"/>
      <c r="P36" s="603"/>
      <c r="R36" s="491"/>
    </row>
    <row r="37" spans="1:18" s="601" customFormat="1" ht="15" customHeight="1">
      <c r="A37" s="510"/>
      <c r="B37" s="511"/>
      <c r="C37" s="702"/>
      <c r="D37" s="702"/>
      <c r="E37" s="525"/>
      <c r="F37" s="536" t="s">
        <v>701</v>
      </c>
      <c r="G37" s="522">
        <f t="shared" si="3"/>
        <v>22250</v>
      </c>
      <c r="H37" s="522">
        <v>12</v>
      </c>
      <c r="I37" s="526">
        <v>267000</v>
      </c>
      <c r="J37" s="555"/>
      <c r="K37" s="491">
        <f t="shared" si="4"/>
        <v>0</v>
      </c>
      <c r="L37" s="491"/>
      <c r="M37" s="491"/>
      <c r="N37" s="491"/>
      <c r="P37" s="603"/>
      <c r="R37" s="491"/>
    </row>
    <row r="38" spans="1:18" s="601" customFormat="1" ht="15" customHeight="1">
      <c r="A38" s="510"/>
      <c r="B38" s="511"/>
      <c r="C38" s="702"/>
      <c r="D38" s="702"/>
      <c r="E38" s="525"/>
      <c r="F38" s="536" t="s">
        <v>702</v>
      </c>
      <c r="G38" s="522">
        <f t="shared" si="3"/>
        <v>37416.666666666664</v>
      </c>
      <c r="H38" s="522">
        <v>12</v>
      </c>
      <c r="I38" s="526">
        <v>449000</v>
      </c>
      <c r="J38" s="555"/>
      <c r="K38" s="491">
        <f t="shared" si="4"/>
        <v>0</v>
      </c>
      <c r="L38" s="491"/>
      <c r="M38" s="491"/>
      <c r="N38" s="491"/>
      <c r="P38" s="603"/>
      <c r="R38" s="491"/>
    </row>
    <row r="39" spans="1:18" s="601" customFormat="1" ht="15" customHeight="1">
      <c r="A39" s="510"/>
      <c r="B39" s="511"/>
      <c r="C39" s="702"/>
      <c r="D39" s="702"/>
      <c r="E39" s="525"/>
      <c r="F39" s="536" t="s">
        <v>703</v>
      </c>
      <c r="G39" s="522">
        <f t="shared" si="3"/>
        <v>173333.33333333334</v>
      </c>
      <c r="H39" s="522">
        <v>12</v>
      </c>
      <c r="I39" s="526">
        <v>2080000</v>
      </c>
      <c r="J39" s="555"/>
      <c r="K39" s="491">
        <f t="shared" si="4"/>
        <v>0</v>
      </c>
      <c r="L39" s="491"/>
      <c r="M39" s="491"/>
      <c r="N39" s="491"/>
      <c r="P39" s="603"/>
      <c r="R39" s="491"/>
    </row>
    <row r="40" spans="1:18" s="601" customFormat="1" ht="15" customHeight="1">
      <c r="A40" s="510"/>
      <c r="B40" s="515"/>
      <c r="C40" s="698"/>
      <c r="D40" s="698"/>
      <c r="E40" s="518"/>
      <c r="F40" s="527" t="s">
        <v>704</v>
      </c>
      <c r="G40" s="562"/>
      <c r="H40" s="562"/>
      <c r="I40" s="528">
        <f>SUM(I34:I39)</f>
        <v>9436000</v>
      </c>
      <c r="J40" s="555"/>
      <c r="K40" s="491"/>
      <c r="L40" s="491"/>
      <c r="M40" s="491"/>
      <c r="N40" s="491"/>
      <c r="P40" s="603"/>
      <c r="R40" s="491"/>
    </row>
    <row r="41" spans="1:18" s="601" customFormat="1" ht="15" customHeight="1">
      <c r="A41" s="510"/>
      <c r="B41" s="515" t="s">
        <v>705</v>
      </c>
      <c r="C41" s="697">
        <f>+D41</f>
        <v>53000000</v>
      </c>
      <c r="D41" s="697">
        <v>53000000</v>
      </c>
      <c r="E41" s="518">
        <f t="shared" si="0"/>
        <v>0</v>
      </c>
      <c r="F41" s="519" t="s">
        <v>706</v>
      </c>
      <c r="G41" s="520"/>
      <c r="H41" s="520" t="s">
        <v>681</v>
      </c>
      <c r="I41" s="521">
        <v>53000</v>
      </c>
      <c r="J41" s="555"/>
      <c r="K41" s="491"/>
      <c r="L41" s="491"/>
      <c r="M41" s="491"/>
      <c r="N41" s="491"/>
      <c r="P41" s="603"/>
      <c r="R41" s="491"/>
    </row>
    <row r="42" spans="1:18" s="601" customFormat="1" ht="15" customHeight="1">
      <c r="A42" s="510"/>
      <c r="B42" s="507" t="s">
        <v>707</v>
      </c>
      <c r="C42" s="701">
        <v>62000000</v>
      </c>
      <c r="D42" s="701">
        <v>62000000</v>
      </c>
      <c r="E42" s="508">
        <f t="shared" si="0"/>
        <v>0</v>
      </c>
      <c r="F42" s="543" t="s">
        <v>160</v>
      </c>
      <c r="G42" s="523">
        <f>I42/H42</f>
        <v>1000</v>
      </c>
      <c r="H42" s="523">
        <v>12</v>
      </c>
      <c r="I42" s="524">
        <v>12000</v>
      </c>
      <c r="J42" s="555"/>
      <c r="K42" s="491"/>
      <c r="L42" s="491"/>
      <c r="M42" s="491"/>
      <c r="N42" s="491"/>
      <c r="P42" s="603"/>
      <c r="R42" s="491"/>
    </row>
    <row r="43" spans="1:18" s="601" customFormat="1" ht="15" customHeight="1">
      <c r="A43" s="510"/>
      <c r="B43" s="511"/>
      <c r="C43" s="702"/>
      <c r="D43" s="702"/>
      <c r="E43" s="525"/>
      <c r="F43" s="536" t="s">
        <v>161</v>
      </c>
      <c r="G43" s="522">
        <f>I43/H43</f>
        <v>666.6666666666666</v>
      </c>
      <c r="H43" s="522">
        <v>12</v>
      </c>
      <c r="I43" s="526">
        <v>8000</v>
      </c>
      <c r="J43" s="555"/>
      <c r="K43" s="491"/>
      <c r="L43" s="491"/>
      <c r="M43" s="491"/>
      <c r="N43" s="491"/>
      <c r="P43" s="603"/>
      <c r="R43" s="491"/>
    </row>
    <row r="44" spans="1:18" s="601" customFormat="1" ht="15" customHeight="1">
      <c r="A44" s="510"/>
      <c r="B44" s="511"/>
      <c r="C44" s="702"/>
      <c r="D44" s="702"/>
      <c r="E44" s="525"/>
      <c r="F44" s="536" t="s">
        <v>708</v>
      </c>
      <c r="G44" s="522">
        <f>I44/H44</f>
        <v>1166.6666666666667</v>
      </c>
      <c r="H44" s="522">
        <v>12</v>
      </c>
      <c r="I44" s="526">
        <v>14000</v>
      </c>
      <c r="J44" s="555"/>
      <c r="K44" s="491"/>
      <c r="L44" s="491"/>
      <c r="M44" s="491"/>
      <c r="N44" s="491"/>
      <c r="P44" s="603"/>
      <c r="R44" s="491"/>
    </row>
    <row r="45" spans="1:18" s="601" customFormat="1" ht="15" customHeight="1">
      <c r="A45" s="510"/>
      <c r="B45" s="511"/>
      <c r="C45" s="702"/>
      <c r="D45" s="702"/>
      <c r="E45" s="525"/>
      <c r="F45" s="536" t="s">
        <v>709</v>
      </c>
      <c r="G45" s="522">
        <f>I45/H45</f>
        <v>2333.3333333333335</v>
      </c>
      <c r="H45" s="522">
        <v>12</v>
      </c>
      <c r="I45" s="526">
        <v>28000</v>
      </c>
      <c r="J45" s="555"/>
      <c r="K45" s="491"/>
      <c r="L45" s="491"/>
      <c r="M45" s="491"/>
      <c r="N45" s="491"/>
      <c r="P45" s="603"/>
      <c r="R45" s="491"/>
    </row>
    <row r="46" spans="1:18" s="601" customFormat="1" ht="15" customHeight="1">
      <c r="A46" s="510"/>
      <c r="B46" s="515"/>
      <c r="C46" s="698"/>
      <c r="D46" s="698"/>
      <c r="E46" s="518"/>
      <c r="F46" s="527" t="s">
        <v>704</v>
      </c>
      <c r="G46" s="520"/>
      <c r="H46" s="520"/>
      <c r="I46" s="528">
        <f>SUM(I42:I45)</f>
        <v>62000</v>
      </c>
      <c r="J46" s="555"/>
      <c r="K46" s="491"/>
      <c r="L46" s="491"/>
      <c r="M46" s="491"/>
      <c r="N46" s="491"/>
      <c r="P46" s="603"/>
      <c r="R46" s="491"/>
    </row>
    <row r="47" spans="1:18" s="601" customFormat="1" ht="15" customHeight="1">
      <c r="A47" s="510"/>
      <c r="B47" s="503" t="s">
        <v>163</v>
      </c>
      <c r="C47" s="697">
        <f>I47</f>
        <v>0</v>
      </c>
      <c r="D47" s="697">
        <f>J47</f>
        <v>0</v>
      </c>
      <c r="E47" s="508">
        <f t="shared" si="0"/>
        <v>0</v>
      </c>
      <c r="F47" s="505" t="s">
        <v>710</v>
      </c>
      <c r="G47" s="530"/>
      <c r="H47" s="530"/>
      <c r="I47" s="531">
        <v>0</v>
      </c>
      <c r="J47" s="555"/>
      <c r="K47" s="491"/>
      <c r="L47" s="491"/>
      <c r="M47" s="491"/>
      <c r="N47" s="491"/>
      <c r="P47" s="603"/>
      <c r="R47" s="491"/>
    </row>
    <row r="48" spans="1:18" s="601" customFormat="1" ht="15" customHeight="1">
      <c r="A48" s="502" t="s">
        <v>711</v>
      </c>
      <c r="B48" s="503"/>
      <c r="C48" s="697">
        <f>SUM(C49:C76)</f>
        <v>9476000000</v>
      </c>
      <c r="D48" s="697">
        <f>SUM(D49:D76)</f>
        <v>9476000000</v>
      </c>
      <c r="E48" s="504">
        <f t="shared" si="0"/>
        <v>0</v>
      </c>
      <c r="F48" s="505"/>
      <c r="G48" s="530"/>
      <c r="H48" s="530"/>
      <c r="I48" s="531"/>
      <c r="J48" s="555"/>
      <c r="K48" s="491"/>
      <c r="L48" s="491"/>
      <c r="M48" s="491"/>
      <c r="N48" s="491"/>
      <c r="P48" s="603"/>
      <c r="R48" s="491"/>
    </row>
    <row r="49" spans="1:18" s="601" customFormat="1" ht="15" customHeight="1">
      <c r="A49" s="510"/>
      <c r="B49" s="507" t="s">
        <v>165</v>
      </c>
      <c r="C49" s="701">
        <v>170000000</v>
      </c>
      <c r="D49" s="701">
        <v>170000000</v>
      </c>
      <c r="E49" s="508">
        <f t="shared" si="0"/>
        <v>0</v>
      </c>
      <c r="F49" s="543" t="s">
        <v>712</v>
      </c>
      <c r="G49" s="523">
        <v>6125</v>
      </c>
      <c r="H49" s="523">
        <v>12</v>
      </c>
      <c r="I49" s="524">
        <v>70000</v>
      </c>
      <c r="J49" s="555"/>
      <c r="K49" s="491"/>
      <c r="L49" s="491"/>
      <c r="M49" s="491"/>
      <c r="N49" s="491"/>
      <c r="P49" s="603"/>
      <c r="R49" s="491"/>
    </row>
    <row r="50" spans="1:18" s="601" customFormat="1" ht="15" customHeight="1">
      <c r="A50" s="510"/>
      <c r="B50" s="511"/>
      <c r="C50" s="702"/>
      <c r="D50" s="702"/>
      <c r="E50" s="525"/>
      <c r="F50" s="536" t="s">
        <v>713</v>
      </c>
      <c r="G50" s="522">
        <v>437.5</v>
      </c>
      <c r="H50" s="522">
        <v>12</v>
      </c>
      <c r="I50" s="526">
        <v>100000</v>
      </c>
      <c r="J50" s="555"/>
      <c r="K50" s="491"/>
      <c r="L50" s="491"/>
      <c r="M50" s="491"/>
      <c r="N50" s="491"/>
      <c r="P50" s="603"/>
      <c r="R50" s="491"/>
    </row>
    <row r="51" spans="1:18" s="601" customFormat="1" ht="15" customHeight="1">
      <c r="A51" s="510"/>
      <c r="B51" s="515"/>
      <c r="C51" s="698"/>
      <c r="D51" s="698"/>
      <c r="E51" s="518"/>
      <c r="F51" s="527" t="s">
        <v>704</v>
      </c>
      <c r="G51" s="562"/>
      <c r="H51" s="562"/>
      <c r="I51" s="528">
        <f>SUM(I49:I50)</f>
        <v>170000</v>
      </c>
      <c r="J51" s="555"/>
      <c r="K51" s="491"/>
      <c r="L51" s="491"/>
      <c r="M51" s="491"/>
      <c r="N51" s="491"/>
      <c r="P51" s="603"/>
      <c r="R51" s="491"/>
    </row>
    <row r="52" spans="1:18" s="601" customFormat="1" ht="15" customHeight="1">
      <c r="A52" s="510"/>
      <c r="B52" s="511" t="s">
        <v>166</v>
      </c>
      <c r="C52" s="701">
        <v>171000000</v>
      </c>
      <c r="D52" s="701">
        <v>171000000</v>
      </c>
      <c r="E52" s="525">
        <f t="shared" si="0"/>
        <v>0</v>
      </c>
      <c r="F52" s="543" t="s">
        <v>167</v>
      </c>
      <c r="G52" s="522">
        <f>I52/H52</f>
        <v>6000</v>
      </c>
      <c r="H52" s="523">
        <v>1</v>
      </c>
      <c r="I52" s="524">
        <v>6000</v>
      </c>
      <c r="J52" s="555"/>
      <c r="K52" s="491"/>
      <c r="L52" s="491"/>
      <c r="M52" s="491"/>
      <c r="N52" s="491"/>
      <c r="P52" s="603"/>
      <c r="R52" s="491"/>
    </row>
    <row r="53" spans="1:18" s="601" customFormat="1" ht="15" customHeight="1">
      <c r="A53" s="510"/>
      <c r="B53" s="511"/>
      <c r="C53" s="702"/>
      <c r="D53" s="702"/>
      <c r="E53" s="536"/>
      <c r="F53" s="536" t="s">
        <v>168</v>
      </c>
      <c r="G53" s="522">
        <f>I53/H53</f>
        <v>2083.3333333333335</v>
      </c>
      <c r="H53" s="522">
        <v>12</v>
      </c>
      <c r="I53" s="526">
        <v>25000</v>
      </c>
      <c r="J53" s="555"/>
      <c r="K53" s="491"/>
      <c r="L53" s="491"/>
      <c r="M53" s="491"/>
      <c r="N53" s="491"/>
      <c r="P53" s="603"/>
      <c r="R53" s="491"/>
    </row>
    <row r="54" spans="1:18" s="601" customFormat="1" ht="15" customHeight="1">
      <c r="A54" s="510"/>
      <c r="B54" s="511"/>
      <c r="C54" s="702"/>
      <c r="D54" s="702"/>
      <c r="E54" s="525"/>
      <c r="F54" s="536" t="s">
        <v>714</v>
      </c>
      <c r="G54" s="522">
        <f>I54/H54</f>
        <v>7333.333333333333</v>
      </c>
      <c r="H54" s="522">
        <v>12</v>
      </c>
      <c r="I54" s="526">
        <v>88000</v>
      </c>
      <c r="J54" s="555"/>
      <c r="K54" s="491"/>
      <c r="L54" s="491"/>
      <c r="M54" s="491"/>
      <c r="N54" s="491"/>
      <c r="P54" s="603"/>
      <c r="R54" s="491"/>
    </row>
    <row r="55" spans="1:18" s="601" customFormat="1" ht="15" customHeight="1">
      <c r="A55" s="510"/>
      <c r="B55" s="511"/>
      <c r="C55" s="702"/>
      <c r="D55" s="702"/>
      <c r="E55" s="525"/>
      <c r="F55" s="536" t="s">
        <v>715</v>
      </c>
      <c r="G55" s="522">
        <f>I55/H55</f>
        <v>4333.333333333333</v>
      </c>
      <c r="H55" s="522">
        <v>12</v>
      </c>
      <c r="I55" s="526">
        <v>52000</v>
      </c>
      <c r="J55" s="555"/>
      <c r="K55" s="491"/>
      <c r="L55" s="491"/>
      <c r="M55" s="491"/>
      <c r="N55" s="491"/>
      <c r="P55" s="603"/>
      <c r="R55" s="491"/>
    </row>
    <row r="56" spans="1:18" s="601" customFormat="1" ht="15" customHeight="1">
      <c r="A56" s="510"/>
      <c r="B56" s="515"/>
      <c r="C56" s="698"/>
      <c r="D56" s="698"/>
      <c r="E56" s="518"/>
      <c r="F56" s="527" t="s">
        <v>147</v>
      </c>
      <c r="G56" s="562"/>
      <c r="H56" s="562"/>
      <c r="I56" s="528">
        <f>SUM(I52:I55)</f>
        <v>171000</v>
      </c>
      <c r="J56" s="555"/>
      <c r="K56" s="491"/>
      <c r="L56" s="491"/>
      <c r="M56" s="491"/>
      <c r="N56" s="491"/>
      <c r="P56" s="603"/>
      <c r="R56" s="491"/>
    </row>
    <row r="57" spans="1:18" s="601" customFormat="1" ht="15" customHeight="1">
      <c r="A57" s="510"/>
      <c r="B57" s="507" t="s">
        <v>169</v>
      </c>
      <c r="C57" s="701">
        <v>840000000</v>
      </c>
      <c r="D57" s="701">
        <v>840000000</v>
      </c>
      <c r="E57" s="508">
        <f t="shared" si="0"/>
        <v>0</v>
      </c>
      <c r="F57" s="574" t="s">
        <v>716</v>
      </c>
      <c r="G57" s="575">
        <f>I57/H57</f>
        <v>6833.333333333333</v>
      </c>
      <c r="H57" s="575">
        <v>12</v>
      </c>
      <c r="I57" s="576">
        <v>82000</v>
      </c>
      <c r="J57" s="555"/>
      <c r="K57" s="491"/>
      <c r="L57" s="491"/>
      <c r="M57" s="491"/>
      <c r="N57" s="491"/>
      <c r="P57" s="603"/>
      <c r="R57" s="491"/>
    </row>
    <row r="58" spans="1:18" s="601" customFormat="1" ht="15" customHeight="1">
      <c r="A58" s="510"/>
      <c r="B58" s="511"/>
      <c r="C58" s="702"/>
      <c r="D58" s="702"/>
      <c r="E58" s="525"/>
      <c r="F58" s="577" t="s">
        <v>717</v>
      </c>
      <c r="G58" s="570">
        <f>I58/H58</f>
        <v>63166.666666666664</v>
      </c>
      <c r="H58" s="570">
        <v>12</v>
      </c>
      <c r="I58" s="559">
        <v>758000</v>
      </c>
      <c r="J58" s="555"/>
      <c r="K58" s="491"/>
      <c r="L58" s="491"/>
      <c r="M58" s="491"/>
      <c r="N58" s="491"/>
      <c r="P58" s="603"/>
      <c r="R58" s="491"/>
    </row>
    <row r="59" spans="1:18" s="601" customFormat="1" ht="15" customHeight="1">
      <c r="A59" s="510"/>
      <c r="B59" s="515"/>
      <c r="C59" s="698"/>
      <c r="D59" s="698"/>
      <c r="E59" s="518"/>
      <c r="F59" s="527" t="s">
        <v>147</v>
      </c>
      <c r="G59" s="562" t="s">
        <v>20</v>
      </c>
      <c r="H59" s="562"/>
      <c r="I59" s="528">
        <f>SUM(I57:I58)</f>
        <v>840000</v>
      </c>
      <c r="J59" s="555"/>
      <c r="K59" s="491"/>
      <c r="L59" s="491"/>
      <c r="M59" s="491"/>
      <c r="N59" s="491"/>
      <c r="P59" s="603"/>
      <c r="R59" s="491"/>
    </row>
    <row r="60" spans="1:18" s="601" customFormat="1" ht="15" customHeight="1">
      <c r="A60" s="510"/>
      <c r="B60" s="503" t="s">
        <v>170</v>
      </c>
      <c r="C60" s="697">
        <v>429000000</v>
      </c>
      <c r="D60" s="718">
        <v>429000000</v>
      </c>
      <c r="E60" s="504">
        <f t="shared" si="0"/>
        <v>0</v>
      </c>
      <c r="F60" s="505" t="s">
        <v>718</v>
      </c>
      <c r="G60" s="530">
        <f>I60/H60</f>
        <v>35750</v>
      </c>
      <c r="H60" s="530">
        <v>12</v>
      </c>
      <c r="I60" s="719">
        <v>429000</v>
      </c>
      <c r="J60" s="555">
        <f>D60*2%</f>
        <v>8580000</v>
      </c>
      <c r="K60" s="491"/>
      <c r="L60" s="491"/>
      <c r="M60" s="491"/>
      <c r="N60" s="491"/>
      <c r="P60" s="603"/>
      <c r="R60" s="491"/>
    </row>
    <row r="61" spans="1:18" s="601" customFormat="1" ht="15" customHeight="1">
      <c r="A61" s="510"/>
      <c r="B61" s="503" t="s">
        <v>172</v>
      </c>
      <c r="C61" s="697">
        <v>1040000000</v>
      </c>
      <c r="D61" s="699">
        <v>1040000000</v>
      </c>
      <c r="E61" s="504">
        <f t="shared" si="0"/>
        <v>0</v>
      </c>
      <c r="F61" s="578" t="s">
        <v>719</v>
      </c>
      <c r="G61" s="579">
        <f>I61/H61</f>
        <v>86666.66666666667</v>
      </c>
      <c r="H61" s="579">
        <v>12</v>
      </c>
      <c r="I61" s="720">
        <v>1040000</v>
      </c>
      <c r="J61" s="555">
        <f>D61*2%</f>
        <v>20800000</v>
      </c>
      <c r="K61" s="491"/>
      <c r="L61" s="491"/>
      <c r="M61" s="491"/>
      <c r="N61" s="491"/>
      <c r="P61" s="603"/>
      <c r="R61" s="491"/>
    </row>
    <row r="62" spans="1:18" s="601" customFormat="1" ht="15" customHeight="1">
      <c r="A62" s="510"/>
      <c r="B62" s="507" t="s">
        <v>174</v>
      </c>
      <c r="C62" s="701">
        <v>2587000000</v>
      </c>
      <c r="D62" s="700">
        <v>2587000000</v>
      </c>
      <c r="E62" s="508">
        <f t="shared" si="0"/>
        <v>0</v>
      </c>
      <c r="F62" s="543" t="s">
        <v>720</v>
      </c>
      <c r="G62" s="523">
        <f>I62/H62</f>
        <v>180083.33333333334</v>
      </c>
      <c r="H62" s="523">
        <v>12</v>
      </c>
      <c r="I62" s="524">
        <v>2161000</v>
      </c>
      <c r="J62" s="555">
        <f>D62*2%</f>
        <v>51740000</v>
      </c>
      <c r="K62" s="491">
        <f>+I62*1.02</f>
        <v>2204220</v>
      </c>
      <c r="L62" s="491"/>
      <c r="M62" s="491"/>
      <c r="N62" s="491"/>
      <c r="P62" s="603"/>
      <c r="R62" s="491"/>
    </row>
    <row r="63" spans="1:18" s="601" customFormat="1" ht="15" customHeight="1">
      <c r="A63" s="510"/>
      <c r="B63" s="511"/>
      <c r="C63" s="702"/>
      <c r="D63" s="702"/>
      <c r="E63" s="525"/>
      <c r="F63" s="536" t="s">
        <v>721</v>
      </c>
      <c r="G63" s="522">
        <f>I63/H63</f>
        <v>35500</v>
      </c>
      <c r="H63" s="522">
        <v>12</v>
      </c>
      <c r="I63" s="526">
        <v>426000</v>
      </c>
      <c r="J63" s="555">
        <f>D63*2%</f>
        <v>0</v>
      </c>
      <c r="K63" s="491">
        <f>+I63*1.02</f>
        <v>434520</v>
      </c>
      <c r="L63" s="491"/>
      <c r="M63" s="491"/>
      <c r="N63" s="491"/>
      <c r="P63" s="603"/>
      <c r="R63" s="491"/>
    </row>
    <row r="64" spans="1:18" s="601" customFormat="1" ht="15" customHeight="1">
      <c r="A64" s="510"/>
      <c r="B64" s="515"/>
      <c r="C64" s="698"/>
      <c r="D64" s="698"/>
      <c r="E64" s="518"/>
      <c r="F64" s="527" t="s">
        <v>722</v>
      </c>
      <c r="G64" s="562"/>
      <c r="H64" s="562"/>
      <c r="I64" s="528">
        <f>SUM(I62:I63)</f>
        <v>2587000</v>
      </c>
      <c r="J64" s="555"/>
      <c r="K64" s="491"/>
      <c r="L64" s="491"/>
      <c r="M64" s="491"/>
      <c r="N64" s="491"/>
      <c r="P64" s="603"/>
      <c r="R64" s="491"/>
    </row>
    <row r="65" spans="1:18" s="601" customFormat="1" ht="15" customHeight="1">
      <c r="A65" s="510"/>
      <c r="B65" s="511" t="s">
        <v>175</v>
      </c>
      <c r="C65" s="702">
        <v>215000000</v>
      </c>
      <c r="D65" s="702">
        <v>215000000</v>
      </c>
      <c r="E65" s="525">
        <f t="shared" si="0"/>
        <v>0</v>
      </c>
      <c r="F65" s="536" t="s">
        <v>176</v>
      </c>
      <c r="G65" s="522">
        <f>I65/H65</f>
        <v>10000</v>
      </c>
      <c r="H65" s="522">
        <v>12</v>
      </c>
      <c r="I65" s="526">
        <v>120000</v>
      </c>
      <c r="J65" s="555">
        <f>D65*3%</f>
        <v>6450000</v>
      </c>
      <c r="K65" s="491"/>
      <c r="L65" s="491"/>
      <c r="M65" s="491"/>
      <c r="N65" s="491"/>
      <c r="P65" s="603"/>
      <c r="R65" s="491"/>
    </row>
    <row r="66" spans="1:18" s="601" customFormat="1" ht="15" customHeight="1">
      <c r="A66" s="510"/>
      <c r="B66" s="511"/>
      <c r="C66" s="702"/>
      <c r="D66" s="702"/>
      <c r="E66" s="525"/>
      <c r="F66" s="536" t="s">
        <v>177</v>
      </c>
      <c r="G66" s="522">
        <f>I66/H66</f>
        <v>7916.666666666667</v>
      </c>
      <c r="H66" s="522">
        <v>12</v>
      </c>
      <c r="I66" s="526">
        <v>95000</v>
      </c>
      <c r="J66" s="555"/>
      <c r="K66" s="491"/>
      <c r="L66" s="491"/>
      <c r="M66" s="491"/>
      <c r="N66" s="491"/>
      <c r="P66" s="603"/>
      <c r="R66" s="491"/>
    </row>
    <row r="67" spans="1:18" s="601" customFormat="1" ht="15" customHeight="1">
      <c r="A67" s="512"/>
      <c r="B67" s="513"/>
      <c r="C67" s="703"/>
      <c r="D67" s="703"/>
      <c r="E67" s="537"/>
      <c r="F67" s="594" t="s">
        <v>147</v>
      </c>
      <c r="G67" s="595"/>
      <c r="H67" s="595"/>
      <c r="I67" s="596">
        <f>I65+I66</f>
        <v>215000</v>
      </c>
      <c r="J67" s="555"/>
      <c r="K67" s="491"/>
      <c r="L67" s="491"/>
      <c r="M67" s="491"/>
      <c r="N67" s="491"/>
      <c r="P67" s="603"/>
      <c r="R67" s="491"/>
    </row>
    <row r="68" spans="1:18" s="601" customFormat="1" ht="15" customHeight="1">
      <c r="A68" s="510" t="s">
        <v>711</v>
      </c>
      <c r="B68" s="511" t="s">
        <v>723</v>
      </c>
      <c r="C68" s="702">
        <f>+D68</f>
        <v>2279000000</v>
      </c>
      <c r="D68" s="702">
        <v>2279000000</v>
      </c>
      <c r="E68" s="525">
        <f>C68-D68</f>
        <v>0</v>
      </c>
      <c r="F68" s="721" t="s">
        <v>724</v>
      </c>
      <c r="G68" s="522">
        <f aca="true" t="shared" si="5" ref="G68:G73">I68/H68</f>
        <v>27256.833333333332</v>
      </c>
      <c r="H68" s="522">
        <v>12</v>
      </c>
      <c r="I68" s="526">
        <v>327082</v>
      </c>
      <c r="J68" s="555"/>
      <c r="K68" s="491"/>
      <c r="L68" s="491"/>
      <c r="M68" s="491"/>
      <c r="N68" s="491"/>
      <c r="P68" s="603"/>
      <c r="R68" s="491"/>
    </row>
    <row r="69" spans="1:18" s="601" customFormat="1" ht="15" customHeight="1">
      <c r="A69" s="510"/>
      <c r="B69" s="511"/>
      <c r="C69" s="702"/>
      <c r="D69" s="702"/>
      <c r="E69" s="525"/>
      <c r="F69" s="721" t="s">
        <v>725</v>
      </c>
      <c r="G69" s="522">
        <f t="shared" si="5"/>
        <v>306666.6666666667</v>
      </c>
      <c r="H69" s="522">
        <v>3</v>
      </c>
      <c r="I69" s="526">
        <v>920000</v>
      </c>
      <c r="J69" s="555"/>
      <c r="K69" s="491"/>
      <c r="L69" s="491"/>
      <c r="M69" s="491"/>
      <c r="N69" s="491"/>
      <c r="P69" s="603"/>
      <c r="R69" s="491"/>
    </row>
    <row r="70" spans="1:18" s="601" customFormat="1" ht="15" customHeight="1">
      <c r="A70" s="510"/>
      <c r="B70" s="511"/>
      <c r="C70" s="702"/>
      <c r="D70" s="702"/>
      <c r="E70" s="525"/>
      <c r="F70" s="721" t="s">
        <v>726</v>
      </c>
      <c r="G70" s="522">
        <f t="shared" si="5"/>
        <v>250000</v>
      </c>
      <c r="H70" s="522">
        <v>1</v>
      </c>
      <c r="I70" s="526">
        <v>250000</v>
      </c>
      <c r="J70" s="555"/>
      <c r="K70" s="491"/>
      <c r="L70" s="491"/>
      <c r="M70" s="491"/>
      <c r="N70" s="491"/>
      <c r="P70" s="603"/>
      <c r="R70" s="491"/>
    </row>
    <row r="71" spans="1:18" s="601" customFormat="1" ht="15" customHeight="1">
      <c r="A71" s="510"/>
      <c r="B71" s="511"/>
      <c r="C71" s="702"/>
      <c r="D71" s="702"/>
      <c r="E71" s="525"/>
      <c r="F71" s="721" t="s">
        <v>727</v>
      </c>
      <c r="G71" s="522">
        <f t="shared" si="5"/>
        <v>220845</v>
      </c>
      <c r="H71" s="522">
        <v>1</v>
      </c>
      <c r="I71" s="526">
        <v>220845</v>
      </c>
      <c r="J71" s="555"/>
      <c r="K71" s="491"/>
      <c r="L71" s="491"/>
      <c r="M71" s="491"/>
      <c r="N71" s="491"/>
      <c r="P71" s="603"/>
      <c r="R71" s="491"/>
    </row>
    <row r="72" spans="1:18" s="601" customFormat="1" ht="15" customHeight="1">
      <c r="A72" s="510"/>
      <c r="B72" s="511"/>
      <c r="C72" s="702"/>
      <c r="D72" s="702"/>
      <c r="E72" s="525"/>
      <c r="F72" s="721" t="s">
        <v>728</v>
      </c>
      <c r="G72" s="522">
        <f t="shared" si="5"/>
        <v>312000</v>
      </c>
      <c r="H72" s="522">
        <v>1</v>
      </c>
      <c r="I72" s="526">
        <v>312000</v>
      </c>
      <c r="J72" s="555"/>
      <c r="K72" s="491"/>
      <c r="L72" s="491"/>
      <c r="M72" s="491"/>
      <c r="N72" s="491"/>
      <c r="P72" s="603"/>
      <c r="R72" s="491"/>
    </row>
    <row r="73" spans="1:18" s="601" customFormat="1" ht="15" customHeight="1">
      <c r="A73" s="510"/>
      <c r="B73" s="511"/>
      <c r="C73" s="702"/>
      <c r="D73" s="702"/>
      <c r="E73" s="525"/>
      <c r="F73" s="721" t="s">
        <v>729</v>
      </c>
      <c r="G73" s="522">
        <f t="shared" si="5"/>
        <v>20756.083333333332</v>
      </c>
      <c r="H73" s="522">
        <v>12</v>
      </c>
      <c r="I73" s="526">
        <v>249073</v>
      </c>
      <c r="J73" s="555"/>
      <c r="K73" s="491"/>
      <c r="L73" s="491"/>
      <c r="M73" s="491"/>
      <c r="N73" s="491"/>
      <c r="P73" s="603"/>
      <c r="R73" s="491"/>
    </row>
    <row r="74" spans="1:18" s="601" customFormat="1" ht="15" customHeight="1">
      <c r="A74" s="510"/>
      <c r="B74" s="511"/>
      <c r="C74" s="702"/>
      <c r="D74" s="702"/>
      <c r="E74" s="525"/>
      <c r="F74" s="536"/>
      <c r="G74" s="522"/>
      <c r="H74" s="522"/>
      <c r="I74" s="526"/>
      <c r="J74" s="555"/>
      <c r="K74" s="491"/>
      <c r="L74" s="491"/>
      <c r="M74" s="491"/>
      <c r="N74" s="491"/>
      <c r="P74" s="603"/>
      <c r="R74" s="491"/>
    </row>
    <row r="75" spans="1:18" s="601" customFormat="1" ht="15" customHeight="1">
      <c r="A75" s="510"/>
      <c r="B75" s="511"/>
      <c r="C75" s="702"/>
      <c r="D75" s="702"/>
      <c r="E75" s="525"/>
      <c r="F75" s="563" t="s">
        <v>147</v>
      </c>
      <c r="G75" s="529"/>
      <c r="H75" s="529"/>
      <c r="I75" s="560">
        <f>SUM(I68:I74)</f>
        <v>2279000</v>
      </c>
      <c r="J75" s="555"/>
      <c r="K75" s="491"/>
      <c r="L75" s="491"/>
      <c r="M75" s="491"/>
      <c r="N75" s="491"/>
      <c r="P75" s="603"/>
      <c r="R75" s="491"/>
    </row>
    <row r="76" spans="1:18" s="601" customFormat="1" ht="15" customHeight="1">
      <c r="A76" s="510"/>
      <c r="B76" s="507" t="s">
        <v>179</v>
      </c>
      <c r="C76" s="701">
        <v>1745000000</v>
      </c>
      <c r="D76" s="700">
        <v>1745000000</v>
      </c>
      <c r="E76" s="508">
        <f aca="true" t="shared" si="6" ref="E76:E144">C76-D76</f>
        <v>0</v>
      </c>
      <c r="F76" s="543" t="s">
        <v>730</v>
      </c>
      <c r="G76" s="523">
        <f>I76/H76</f>
        <v>98750</v>
      </c>
      <c r="H76" s="523">
        <v>12</v>
      </c>
      <c r="I76" s="524">
        <v>1185000</v>
      </c>
      <c r="J76" s="555"/>
      <c r="K76" s="491"/>
      <c r="L76" s="491"/>
      <c r="M76" s="491"/>
      <c r="N76" s="491"/>
      <c r="P76" s="603"/>
      <c r="R76" s="491"/>
    </row>
    <row r="77" spans="1:18" s="601" customFormat="1" ht="15" customHeight="1">
      <c r="A77" s="510"/>
      <c r="B77" s="511"/>
      <c r="C77" s="702"/>
      <c r="D77" s="702"/>
      <c r="E77" s="525"/>
      <c r="F77" s="536" t="s">
        <v>731</v>
      </c>
      <c r="G77" s="522">
        <f>I77/H77</f>
        <v>46666.666666666664</v>
      </c>
      <c r="H77" s="522">
        <v>12</v>
      </c>
      <c r="I77" s="526">
        <v>560000</v>
      </c>
      <c r="J77" s="555"/>
      <c r="K77" s="491"/>
      <c r="L77" s="491"/>
      <c r="M77" s="491"/>
      <c r="N77" s="491"/>
      <c r="P77" s="603"/>
      <c r="R77" s="491"/>
    </row>
    <row r="78" spans="1:18" s="601" customFormat="1" ht="15" customHeight="1">
      <c r="A78" s="510"/>
      <c r="B78" s="511"/>
      <c r="C78" s="702"/>
      <c r="D78" s="702"/>
      <c r="E78" s="525"/>
      <c r="F78" s="536"/>
      <c r="G78" s="522"/>
      <c r="H78" s="522"/>
      <c r="I78" s="526"/>
      <c r="J78" s="555"/>
      <c r="K78" s="491"/>
      <c r="L78" s="491"/>
      <c r="M78" s="491"/>
      <c r="N78" s="491"/>
      <c r="P78" s="603"/>
      <c r="R78" s="491"/>
    </row>
    <row r="79" spans="1:18" s="601" customFormat="1" ht="15" customHeight="1">
      <c r="A79" s="510"/>
      <c r="B79" s="515"/>
      <c r="C79" s="698"/>
      <c r="D79" s="698"/>
      <c r="E79" s="518"/>
      <c r="F79" s="527" t="s">
        <v>147</v>
      </c>
      <c r="G79" s="520"/>
      <c r="H79" s="520"/>
      <c r="I79" s="528">
        <f>SUM(I76:I78)</f>
        <v>1745000</v>
      </c>
      <c r="J79" s="555"/>
      <c r="K79" s="491"/>
      <c r="L79" s="491"/>
      <c r="M79" s="491"/>
      <c r="N79" s="491"/>
      <c r="P79" s="603"/>
      <c r="R79" s="491"/>
    </row>
    <row r="80" spans="1:18" s="601" customFormat="1" ht="15" customHeight="1">
      <c r="A80" s="502" t="s">
        <v>182</v>
      </c>
      <c r="B80" s="503"/>
      <c r="C80" s="697">
        <f>SUM(C81:C99)</f>
        <v>1951000000</v>
      </c>
      <c r="D80" s="697">
        <f>SUM(D81:D99)</f>
        <v>1951000000</v>
      </c>
      <c r="E80" s="504">
        <f t="shared" si="6"/>
        <v>0</v>
      </c>
      <c r="F80" s="505"/>
      <c r="G80" s="530"/>
      <c r="H80" s="530"/>
      <c r="I80" s="531"/>
      <c r="J80" s="555"/>
      <c r="K80" s="491"/>
      <c r="L80" s="491"/>
      <c r="M80" s="491"/>
      <c r="N80" s="491"/>
      <c r="P80" s="603"/>
      <c r="R80" s="491"/>
    </row>
    <row r="81" spans="1:18" s="601" customFormat="1" ht="15" customHeight="1">
      <c r="A81" s="506"/>
      <c r="B81" s="569" t="s">
        <v>183</v>
      </c>
      <c r="C81" s="701">
        <f>+D81</f>
        <v>757000000</v>
      </c>
      <c r="D81" s="701">
        <v>757000000</v>
      </c>
      <c r="E81" s="508">
        <f t="shared" si="6"/>
        <v>0</v>
      </c>
      <c r="F81" s="721" t="s">
        <v>732</v>
      </c>
      <c r="G81" s="523">
        <f>I81/H81</f>
        <v>61250</v>
      </c>
      <c r="H81" s="523">
        <v>12</v>
      </c>
      <c r="I81" s="524">
        <v>735000</v>
      </c>
      <c r="J81" s="555"/>
      <c r="K81" s="491"/>
      <c r="L81" s="491"/>
      <c r="M81" s="491"/>
      <c r="N81" s="491"/>
      <c r="P81" s="603"/>
      <c r="R81" s="491"/>
    </row>
    <row r="82" spans="1:18" s="601" customFormat="1" ht="15" customHeight="1">
      <c r="A82" s="510"/>
      <c r="B82" s="564"/>
      <c r="C82" s="702"/>
      <c r="D82" s="702"/>
      <c r="E82" s="525"/>
      <c r="F82" s="721" t="s">
        <v>733</v>
      </c>
      <c r="G82" s="522">
        <f>I82/H82</f>
        <v>5500</v>
      </c>
      <c r="H82" s="522">
        <v>4</v>
      </c>
      <c r="I82" s="526">
        <v>22000</v>
      </c>
      <c r="J82" s="555"/>
      <c r="K82" s="491"/>
      <c r="L82" s="491"/>
      <c r="M82" s="491"/>
      <c r="N82" s="491"/>
      <c r="P82" s="603"/>
      <c r="R82" s="491"/>
    </row>
    <row r="83" spans="1:18" s="601" customFormat="1" ht="15" customHeight="1">
      <c r="A83" s="510"/>
      <c r="B83" s="564"/>
      <c r="C83" s="702"/>
      <c r="D83" s="702"/>
      <c r="E83" s="525"/>
      <c r="F83" s="536"/>
      <c r="G83" s="522"/>
      <c r="H83" s="522"/>
      <c r="I83" s="526"/>
      <c r="J83" s="555"/>
      <c r="K83" s="491"/>
      <c r="L83" s="491"/>
      <c r="M83" s="491"/>
      <c r="N83" s="491"/>
      <c r="P83" s="603"/>
      <c r="R83" s="491"/>
    </row>
    <row r="84" spans="1:18" s="601" customFormat="1" ht="15" customHeight="1">
      <c r="A84" s="510"/>
      <c r="B84" s="511"/>
      <c r="C84" s="702"/>
      <c r="D84" s="702"/>
      <c r="E84" s="525"/>
      <c r="F84" s="536"/>
      <c r="G84" s="522"/>
      <c r="H84" s="522"/>
      <c r="I84" s="526"/>
      <c r="J84" s="555"/>
      <c r="K84" s="491"/>
      <c r="L84" s="491"/>
      <c r="M84" s="491"/>
      <c r="N84" s="491"/>
      <c r="P84" s="603"/>
      <c r="R84" s="491"/>
    </row>
    <row r="85" spans="1:18" s="601" customFormat="1" ht="15" customHeight="1">
      <c r="A85" s="510"/>
      <c r="B85" s="511"/>
      <c r="C85" s="702"/>
      <c r="D85" s="702"/>
      <c r="E85" s="525"/>
      <c r="F85" s="536"/>
      <c r="G85" s="522"/>
      <c r="H85" s="522"/>
      <c r="I85" s="526"/>
      <c r="J85" s="555"/>
      <c r="K85" s="491"/>
      <c r="L85" s="491"/>
      <c r="M85" s="491"/>
      <c r="N85" s="491"/>
      <c r="P85" s="603"/>
      <c r="R85" s="491"/>
    </row>
    <row r="86" spans="1:18" s="601" customFormat="1" ht="15" customHeight="1">
      <c r="A86" s="510"/>
      <c r="B86" s="515"/>
      <c r="C86" s="698"/>
      <c r="D86" s="698"/>
      <c r="E86" s="518"/>
      <c r="F86" s="527" t="s">
        <v>147</v>
      </c>
      <c r="G86" s="562"/>
      <c r="H86" s="562"/>
      <c r="I86" s="528">
        <f>SUM(I81:I85)</f>
        <v>757000</v>
      </c>
      <c r="J86" s="555"/>
      <c r="K86" s="491"/>
      <c r="L86" s="491"/>
      <c r="M86" s="491"/>
      <c r="N86" s="491"/>
      <c r="P86" s="603"/>
      <c r="R86" s="491"/>
    </row>
    <row r="87" spans="1:18" s="601" customFormat="1" ht="15" customHeight="1">
      <c r="A87" s="510"/>
      <c r="B87" s="507" t="s">
        <v>184</v>
      </c>
      <c r="C87" s="701">
        <v>560000000</v>
      </c>
      <c r="D87" s="701">
        <v>560000000</v>
      </c>
      <c r="E87" s="508">
        <f t="shared" si="6"/>
        <v>0</v>
      </c>
      <c r="F87" s="721" t="s">
        <v>734</v>
      </c>
      <c r="G87" s="523"/>
      <c r="H87" s="523"/>
      <c r="I87" s="524">
        <v>371500</v>
      </c>
      <c r="J87" s="555"/>
      <c r="K87" s="491"/>
      <c r="L87" s="491"/>
      <c r="M87" s="491"/>
      <c r="N87" s="491"/>
      <c r="P87" s="603"/>
      <c r="R87" s="491"/>
    </row>
    <row r="88" spans="1:18" s="601" customFormat="1" ht="15" customHeight="1">
      <c r="A88" s="510"/>
      <c r="B88" s="511"/>
      <c r="C88" s="702"/>
      <c r="D88" s="702"/>
      <c r="E88" s="525"/>
      <c r="F88" s="721" t="s">
        <v>735</v>
      </c>
      <c r="G88" s="522"/>
      <c r="H88" s="522"/>
      <c r="I88" s="526">
        <v>180000</v>
      </c>
      <c r="J88" s="555"/>
      <c r="K88" s="491"/>
      <c r="L88" s="491"/>
      <c r="M88" s="491"/>
      <c r="N88" s="491"/>
      <c r="P88" s="603"/>
      <c r="R88" s="491"/>
    </row>
    <row r="89" spans="1:18" s="601" customFormat="1" ht="15" customHeight="1">
      <c r="A89" s="510"/>
      <c r="B89" s="511"/>
      <c r="C89" s="702"/>
      <c r="D89" s="702"/>
      <c r="E89" s="525"/>
      <c r="F89" s="721" t="s">
        <v>736</v>
      </c>
      <c r="G89" s="522"/>
      <c r="H89" s="522"/>
      <c r="I89" s="526">
        <v>1500</v>
      </c>
      <c r="J89" s="555"/>
      <c r="K89" s="491"/>
      <c r="L89" s="491"/>
      <c r="M89" s="491"/>
      <c r="N89" s="491"/>
      <c r="P89" s="603"/>
      <c r="R89" s="491"/>
    </row>
    <row r="90" spans="1:18" s="601" customFormat="1" ht="15" customHeight="1">
      <c r="A90" s="510"/>
      <c r="B90" s="511"/>
      <c r="C90" s="702"/>
      <c r="D90" s="702"/>
      <c r="E90" s="525"/>
      <c r="F90" s="721" t="s">
        <v>737</v>
      </c>
      <c r="G90" s="522"/>
      <c r="H90" s="522"/>
      <c r="I90" s="526">
        <v>1000</v>
      </c>
      <c r="J90" s="555"/>
      <c r="K90" s="491"/>
      <c r="L90" s="491"/>
      <c r="M90" s="491"/>
      <c r="N90" s="491"/>
      <c r="P90" s="603"/>
      <c r="R90" s="491"/>
    </row>
    <row r="91" spans="1:18" s="601" customFormat="1" ht="15" customHeight="1">
      <c r="A91" s="510"/>
      <c r="B91" s="511"/>
      <c r="C91" s="702"/>
      <c r="D91" s="702"/>
      <c r="E91" s="525"/>
      <c r="F91" s="721" t="s">
        <v>738</v>
      </c>
      <c r="G91" s="522"/>
      <c r="H91" s="522"/>
      <c r="I91" s="526">
        <v>1000</v>
      </c>
      <c r="J91" s="555"/>
      <c r="K91" s="491"/>
      <c r="L91" s="491"/>
      <c r="M91" s="491"/>
      <c r="N91" s="491"/>
      <c r="P91" s="603"/>
      <c r="R91" s="491"/>
    </row>
    <row r="92" spans="1:18" s="601" customFormat="1" ht="15" customHeight="1">
      <c r="A92" s="510"/>
      <c r="B92" s="511"/>
      <c r="C92" s="702"/>
      <c r="D92" s="702"/>
      <c r="E92" s="525"/>
      <c r="F92" s="721" t="s">
        <v>739</v>
      </c>
      <c r="G92" s="522"/>
      <c r="H92" s="522"/>
      <c r="I92" s="526">
        <v>5000</v>
      </c>
      <c r="J92" s="555"/>
      <c r="K92" s="491"/>
      <c r="L92" s="491"/>
      <c r="M92" s="491"/>
      <c r="N92" s="491"/>
      <c r="P92" s="603"/>
      <c r="R92" s="491"/>
    </row>
    <row r="93" spans="1:18" s="601" customFormat="1" ht="15" customHeight="1">
      <c r="A93" s="510"/>
      <c r="B93" s="515"/>
      <c r="C93" s="698"/>
      <c r="D93" s="698"/>
      <c r="E93" s="518"/>
      <c r="F93" s="527" t="s">
        <v>147</v>
      </c>
      <c r="G93" s="562"/>
      <c r="H93" s="562"/>
      <c r="I93" s="528">
        <f>SUM(I87:I92)</f>
        <v>560000</v>
      </c>
      <c r="J93" s="555"/>
      <c r="K93" s="491"/>
      <c r="L93" s="491"/>
      <c r="M93" s="491"/>
      <c r="N93" s="491"/>
      <c r="P93" s="603"/>
      <c r="R93" s="491"/>
    </row>
    <row r="94" spans="1:18" s="601" customFormat="1" ht="15" customHeight="1">
      <c r="A94" s="510"/>
      <c r="B94" s="503" t="s">
        <v>185</v>
      </c>
      <c r="C94" s="697">
        <v>0</v>
      </c>
      <c r="D94" s="697">
        <v>0</v>
      </c>
      <c r="E94" s="504">
        <f t="shared" si="6"/>
        <v>0</v>
      </c>
      <c r="F94" s="505"/>
      <c r="G94" s="530"/>
      <c r="H94" s="530"/>
      <c r="I94" s="531"/>
      <c r="J94" s="555"/>
      <c r="K94" s="491"/>
      <c r="L94" s="491"/>
      <c r="M94" s="491"/>
      <c r="N94" s="491"/>
      <c r="P94" s="603"/>
      <c r="R94" s="491"/>
    </row>
    <row r="95" spans="1:18" s="601" customFormat="1" ht="15" customHeight="1">
      <c r="A95" s="510"/>
      <c r="B95" s="503" t="s">
        <v>186</v>
      </c>
      <c r="C95" s="697">
        <v>120000000</v>
      </c>
      <c r="D95" s="699">
        <v>120000000</v>
      </c>
      <c r="E95" s="504">
        <f t="shared" si="6"/>
        <v>0</v>
      </c>
      <c r="F95" s="505" t="s">
        <v>740</v>
      </c>
      <c r="G95" s="530">
        <f>I95/H95</f>
        <v>10000</v>
      </c>
      <c r="H95" s="530">
        <v>12</v>
      </c>
      <c r="I95" s="719">
        <v>120000</v>
      </c>
      <c r="J95" s="555"/>
      <c r="K95" s="491"/>
      <c r="L95" s="491"/>
      <c r="M95" s="491"/>
      <c r="N95" s="491"/>
      <c r="P95" s="603"/>
      <c r="R95" s="491"/>
    </row>
    <row r="96" spans="1:18" s="601" customFormat="1" ht="15" customHeight="1">
      <c r="A96" s="510"/>
      <c r="B96" s="515" t="s">
        <v>188</v>
      </c>
      <c r="C96" s="697">
        <v>472000000</v>
      </c>
      <c r="D96" s="697">
        <v>472000000</v>
      </c>
      <c r="E96" s="518">
        <f t="shared" si="6"/>
        <v>0</v>
      </c>
      <c r="F96" s="519" t="s">
        <v>741</v>
      </c>
      <c r="G96" s="520">
        <f>I96/H96</f>
        <v>39333.333333333336</v>
      </c>
      <c r="H96" s="520">
        <v>12</v>
      </c>
      <c r="I96" s="528">
        <v>472000</v>
      </c>
      <c r="J96" s="555"/>
      <c r="K96" s="491"/>
      <c r="L96" s="491"/>
      <c r="M96" s="491"/>
      <c r="N96" s="491"/>
      <c r="P96" s="603"/>
      <c r="R96" s="491"/>
    </row>
    <row r="97" spans="1:18" s="601" customFormat="1" ht="15" customHeight="1">
      <c r="A97" s="510"/>
      <c r="B97" s="503" t="s">
        <v>190</v>
      </c>
      <c r="C97" s="697">
        <v>0</v>
      </c>
      <c r="D97" s="697">
        <v>0</v>
      </c>
      <c r="E97" s="504">
        <f t="shared" si="6"/>
        <v>0</v>
      </c>
      <c r="F97" s="505"/>
      <c r="G97" s="530"/>
      <c r="H97" s="530"/>
      <c r="I97" s="531"/>
      <c r="J97" s="555"/>
      <c r="K97" s="491"/>
      <c r="L97" s="491"/>
      <c r="M97" s="491"/>
      <c r="N97" s="491"/>
      <c r="P97" s="603"/>
      <c r="R97" s="491"/>
    </row>
    <row r="98" spans="1:18" s="601" customFormat="1" ht="15" customHeight="1">
      <c r="A98" s="510"/>
      <c r="B98" s="503" t="s">
        <v>191</v>
      </c>
      <c r="C98" s="697">
        <v>0</v>
      </c>
      <c r="D98" s="697">
        <v>0</v>
      </c>
      <c r="E98" s="504">
        <f t="shared" si="6"/>
        <v>0</v>
      </c>
      <c r="F98" s="505"/>
      <c r="G98" s="530"/>
      <c r="H98" s="530"/>
      <c r="I98" s="531"/>
      <c r="J98" s="555"/>
      <c r="K98" s="491"/>
      <c r="L98" s="491"/>
      <c r="M98" s="491"/>
      <c r="N98" s="491"/>
      <c r="P98" s="603"/>
      <c r="R98" s="491"/>
    </row>
    <row r="99" spans="1:18" s="601" customFormat="1" ht="15" customHeight="1">
      <c r="A99" s="514"/>
      <c r="B99" s="515" t="s">
        <v>192</v>
      </c>
      <c r="C99" s="698">
        <v>42000000</v>
      </c>
      <c r="D99" s="698">
        <v>42000000</v>
      </c>
      <c r="E99" s="518">
        <f t="shared" si="6"/>
        <v>0</v>
      </c>
      <c r="F99" s="519" t="s">
        <v>742</v>
      </c>
      <c r="G99" s="520"/>
      <c r="H99" s="520"/>
      <c r="I99" s="528">
        <v>42000</v>
      </c>
      <c r="J99" s="555"/>
      <c r="K99" s="491"/>
      <c r="L99" s="491"/>
      <c r="M99" s="491"/>
      <c r="N99" s="491"/>
      <c r="P99" s="603"/>
      <c r="R99" s="491"/>
    </row>
    <row r="100" spans="1:18" s="601" customFormat="1" ht="15" customHeight="1">
      <c r="A100" s="502" t="s">
        <v>743</v>
      </c>
      <c r="B100" s="503"/>
      <c r="C100" s="697">
        <f>SUM(C101:C116)</f>
        <v>66161000000</v>
      </c>
      <c r="D100" s="697">
        <f>SUM(D101:D116)</f>
        <v>66161000000</v>
      </c>
      <c r="E100" s="504">
        <f t="shared" si="6"/>
        <v>0</v>
      </c>
      <c r="F100" s="505"/>
      <c r="G100" s="530"/>
      <c r="H100" s="530"/>
      <c r="I100" s="531"/>
      <c r="J100" s="555"/>
      <c r="K100" s="491"/>
      <c r="L100" s="491"/>
      <c r="M100" s="491"/>
      <c r="N100" s="491"/>
      <c r="P100" s="603"/>
      <c r="R100" s="491"/>
    </row>
    <row r="101" spans="1:18" s="601" customFormat="1" ht="15" customHeight="1">
      <c r="A101" s="506"/>
      <c r="B101" s="507" t="s">
        <v>194</v>
      </c>
      <c r="C101" s="701">
        <v>32000000000</v>
      </c>
      <c r="D101" s="701">
        <v>32000000000</v>
      </c>
      <c r="E101" s="508">
        <f t="shared" si="6"/>
        <v>0</v>
      </c>
      <c r="F101" s="543" t="s">
        <v>744</v>
      </c>
      <c r="G101" s="523">
        <f>I101/H101</f>
        <v>100000</v>
      </c>
      <c r="H101" s="523">
        <v>12</v>
      </c>
      <c r="I101" s="524">
        <v>1200000</v>
      </c>
      <c r="J101" s="555"/>
      <c r="K101" s="491"/>
      <c r="L101" s="491"/>
      <c r="M101" s="491"/>
      <c r="N101" s="491"/>
      <c r="P101" s="603"/>
      <c r="R101" s="491"/>
    </row>
    <row r="102" spans="1:18" s="601" customFormat="1" ht="15" customHeight="1">
      <c r="A102" s="510"/>
      <c r="B102" s="511"/>
      <c r="C102" s="702"/>
      <c r="D102" s="702"/>
      <c r="E102" s="525"/>
      <c r="F102" s="536" t="s">
        <v>745</v>
      </c>
      <c r="G102" s="522">
        <f aca="true" t="shared" si="7" ref="G102:G109">I102/H102</f>
        <v>2566666.6666666665</v>
      </c>
      <c r="H102" s="522">
        <v>12</v>
      </c>
      <c r="I102" s="526">
        <v>30800000</v>
      </c>
      <c r="J102" s="727"/>
      <c r="K102" s="491"/>
      <c r="L102" s="491"/>
      <c r="M102" s="491"/>
      <c r="N102" s="491"/>
      <c r="P102" s="603"/>
      <c r="R102" s="491"/>
    </row>
    <row r="103" spans="1:18" s="601" customFormat="1" ht="15" customHeight="1">
      <c r="A103" s="512"/>
      <c r="B103" s="513"/>
      <c r="C103" s="703"/>
      <c r="D103" s="703"/>
      <c r="E103" s="537"/>
      <c r="F103" s="594" t="s">
        <v>147</v>
      </c>
      <c r="G103" s="595"/>
      <c r="H103" s="595"/>
      <c r="I103" s="596">
        <f>SUM(I101:I102)</f>
        <v>32000000</v>
      </c>
      <c r="J103" s="125"/>
      <c r="K103" s="491"/>
      <c r="L103" s="491"/>
      <c r="M103" s="491"/>
      <c r="N103" s="491"/>
      <c r="P103" s="603"/>
      <c r="R103" s="491"/>
    </row>
    <row r="104" spans="1:18" s="601" customFormat="1" ht="15" customHeight="1">
      <c r="A104" s="514" t="s">
        <v>743</v>
      </c>
      <c r="B104" s="511" t="s">
        <v>197</v>
      </c>
      <c r="C104" s="702">
        <f>+D104</f>
        <v>18401000000</v>
      </c>
      <c r="D104" s="702">
        <v>18401000000</v>
      </c>
      <c r="E104" s="525">
        <f t="shared" si="6"/>
        <v>0</v>
      </c>
      <c r="F104" s="536" t="s">
        <v>746</v>
      </c>
      <c r="G104" s="522">
        <f t="shared" si="7"/>
        <v>1119500</v>
      </c>
      <c r="H104" s="522">
        <v>12</v>
      </c>
      <c r="I104" s="526">
        <v>13434000</v>
      </c>
      <c r="J104" s="643"/>
      <c r="K104" s="491"/>
      <c r="L104" s="491"/>
      <c r="M104" s="491"/>
      <c r="N104" s="491"/>
      <c r="P104" s="603"/>
      <c r="R104" s="491"/>
    </row>
    <row r="105" spans="1:18" s="601" customFormat="1" ht="15" customHeight="1">
      <c r="A105" s="510"/>
      <c r="B105" s="511"/>
      <c r="C105" s="702"/>
      <c r="D105" s="702"/>
      <c r="E105" s="525"/>
      <c r="F105" s="536" t="s">
        <v>747</v>
      </c>
      <c r="G105" s="522">
        <f t="shared" si="7"/>
        <v>9916.666666666666</v>
      </c>
      <c r="H105" s="522">
        <v>12</v>
      </c>
      <c r="I105" s="526">
        <v>119000</v>
      </c>
      <c r="J105" s="643"/>
      <c r="K105" s="491"/>
      <c r="L105" s="491"/>
      <c r="M105" s="491"/>
      <c r="N105" s="491"/>
      <c r="P105" s="603"/>
      <c r="R105" s="491"/>
    </row>
    <row r="106" spans="1:18" s="601" customFormat="1" ht="15" customHeight="1">
      <c r="A106" s="510"/>
      <c r="B106" s="511"/>
      <c r="C106" s="702"/>
      <c r="D106" s="702"/>
      <c r="E106" s="525"/>
      <c r="F106" s="536" t="s">
        <v>200</v>
      </c>
      <c r="G106" s="522">
        <f t="shared" si="7"/>
        <v>6666.666666666667</v>
      </c>
      <c r="H106" s="522">
        <v>12</v>
      </c>
      <c r="I106" s="526">
        <v>80000</v>
      </c>
      <c r="J106" s="643"/>
      <c r="K106" s="491"/>
      <c r="L106" s="491"/>
      <c r="M106" s="491"/>
      <c r="N106" s="491"/>
      <c r="P106" s="603"/>
      <c r="R106" s="491"/>
    </row>
    <row r="107" spans="1:18" s="601" customFormat="1" ht="15" customHeight="1">
      <c r="A107" s="510"/>
      <c r="B107" s="511"/>
      <c r="C107" s="702"/>
      <c r="D107" s="702"/>
      <c r="E107" s="536"/>
      <c r="F107" s="536" t="s">
        <v>748</v>
      </c>
      <c r="G107" s="522">
        <f t="shared" si="7"/>
        <v>280666.6666666667</v>
      </c>
      <c r="H107" s="522">
        <v>12</v>
      </c>
      <c r="I107" s="526">
        <v>3368000</v>
      </c>
      <c r="J107" s="643"/>
      <c r="K107" s="491"/>
      <c r="L107" s="491"/>
      <c r="M107" s="491"/>
      <c r="N107" s="491"/>
      <c r="P107" s="603"/>
      <c r="R107" s="491"/>
    </row>
    <row r="108" spans="1:18" s="601" customFormat="1" ht="15" customHeight="1">
      <c r="A108" s="510"/>
      <c r="B108" s="511"/>
      <c r="C108" s="702"/>
      <c r="D108" s="702"/>
      <c r="E108" s="525"/>
      <c r="F108" s="536" t="s">
        <v>202</v>
      </c>
      <c r="G108" s="522">
        <f t="shared" si="7"/>
        <v>45833.333333333336</v>
      </c>
      <c r="H108" s="522">
        <v>12</v>
      </c>
      <c r="I108" s="526">
        <v>550000</v>
      </c>
      <c r="J108" s="643"/>
      <c r="K108" s="491"/>
      <c r="L108" s="491"/>
      <c r="M108" s="491"/>
      <c r="N108" s="491"/>
      <c r="P108" s="603"/>
      <c r="R108" s="491"/>
    </row>
    <row r="109" spans="1:18" s="601" customFormat="1" ht="15" customHeight="1">
      <c r="A109" s="510"/>
      <c r="B109" s="511"/>
      <c r="C109" s="702"/>
      <c r="D109" s="702"/>
      <c r="E109" s="525"/>
      <c r="F109" s="536" t="s">
        <v>203</v>
      </c>
      <c r="G109" s="522">
        <f t="shared" si="7"/>
        <v>70833.33333333333</v>
      </c>
      <c r="H109" s="522">
        <v>12</v>
      </c>
      <c r="I109" s="526">
        <v>850000</v>
      </c>
      <c r="J109" s="643"/>
      <c r="K109" s="491"/>
      <c r="L109" s="491"/>
      <c r="M109" s="491"/>
      <c r="N109" s="491"/>
      <c r="P109" s="603"/>
      <c r="R109" s="491"/>
    </row>
    <row r="110" spans="1:18" s="601" customFormat="1" ht="15" customHeight="1">
      <c r="A110" s="510"/>
      <c r="B110" s="515"/>
      <c r="C110" s="698"/>
      <c r="D110" s="698"/>
      <c r="E110" s="518"/>
      <c r="F110" s="527" t="s">
        <v>147</v>
      </c>
      <c r="G110" s="562"/>
      <c r="H110" s="562"/>
      <c r="I110" s="528">
        <f>SUM(I104:I109)</f>
        <v>18401000</v>
      </c>
      <c r="J110" s="125"/>
      <c r="K110" s="491"/>
      <c r="L110" s="491"/>
      <c r="M110" s="491"/>
      <c r="N110" s="491"/>
      <c r="P110" s="603"/>
      <c r="R110" s="491"/>
    </row>
    <row r="111" spans="1:18" s="601" customFormat="1" ht="15" customHeight="1">
      <c r="A111" s="510"/>
      <c r="B111" s="564" t="s">
        <v>204</v>
      </c>
      <c r="C111" s="701">
        <v>10000000000</v>
      </c>
      <c r="D111" s="701">
        <v>10000000000</v>
      </c>
      <c r="E111" s="525">
        <f t="shared" si="6"/>
        <v>0</v>
      </c>
      <c r="F111" s="543" t="s">
        <v>749</v>
      </c>
      <c r="G111" s="523">
        <f>I111/H111</f>
        <v>825000</v>
      </c>
      <c r="H111" s="523">
        <v>12</v>
      </c>
      <c r="I111" s="524">
        <v>9900000</v>
      </c>
      <c r="J111" s="727"/>
      <c r="K111" s="491"/>
      <c r="L111" s="491"/>
      <c r="M111" s="491"/>
      <c r="N111" s="491"/>
      <c r="P111" s="603"/>
      <c r="R111" s="491"/>
    </row>
    <row r="112" spans="1:18" s="601" customFormat="1" ht="15" customHeight="1">
      <c r="A112" s="510"/>
      <c r="B112" s="511"/>
      <c r="C112" s="702"/>
      <c r="D112" s="702"/>
      <c r="E112" s="525"/>
      <c r="F112" s="536" t="s">
        <v>750</v>
      </c>
      <c r="G112" s="522">
        <f>I112/H112</f>
        <v>8333.333333333334</v>
      </c>
      <c r="H112" s="522">
        <v>12</v>
      </c>
      <c r="I112" s="526">
        <v>100000</v>
      </c>
      <c r="J112" s="728"/>
      <c r="K112" s="491"/>
      <c r="L112" s="491"/>
      <c r="M112" s="491"/>
      <c r="N112" s="491"/>
      <c r="P112" s="603"/>
      <c r="R112" s="491"/>
    </row>
    <row r="113" spans="1:18" s="601" customFormat="1" ht="15" customHeight="1">
      <c r="A113" s="510"/>
      <c r="B113" s="511"/>
      <c r="C113" s="698"/>
      <c r="D113" s="698"/>
      <c r="E113" s="525"/>
      <c r="F113" s="527" t="s">
        <v>147</v>
      </c>
      <c r="G113" s="520"/>
      <c r="H113" s="520"/>
      <c r="I113" s="528">
        <f>I111+I112</f>
        <v>10000000</v>
      </c>
      <c r="J113" s="125"/>
      <c r="K113" s="491"/>
      <c r="L113" s="491"/>
      <c r="M113" s="491"/>
      <c r="N113" s="491"/>
      <c r="P113" s="603"/>
      <c r="R113" s="491"/>
    </row>
    <row r="114" spans="1:18" s="601" customFormat="1" ht="15" customHeight="1">
      <c r="A114" s="510"/>
      <c r="B114" s="503" t="s">
        <v>751</v>
      </c>
      <c r="C114" s="697">
        <v>1610000000</v>
      </c>
      <c r="D114" s="697">
        <v>1610000000</v>
      </c>
      <c r="E114" s="504">
        <f t="shared" si="6"/>
        <v>0</v>
      </c>
      <c r="F114" s="505" t="s">
        <v>752</v>
      </c>
      <c r="G114" s="530">
        <f>I114/H114</f>
        <v>134166.66666666666</v>
      </c>
      <c r="H114" s="530">
        <v>12</v>
      </c>
      <c r="I114" s="719">
        <v>1610000</v>
      </c>
      <c r="J114" s="728"/>
      <c r="K114" s="491"/>
      <c r="L114" s="491"/>
      <c r="M114" s="491"/>
      <c r="N114" s="491"/>
      <c r="P114" s="603"/>
      <c r="R114" s="491"/>
    </row>
    <row r="115" spans="1:18" s="601" customFormat="1" ht="15" customHeight="1">
      <c r="A115" s="510"/>
      <c r="B115" s="503" t="s">
        <v>753</v>
      </c>
      <c r="C115" s="697">
        <f>+D115</f>
        <v>2075000000</v>
      </c>
      <c r="D115" s="697">
        <v>2075000000</v>
      </c>
      <c r="E115" s="504">
        <f t="shared" si="6"/>
        <v>0</v>
      </c>
      <c r="F115" s="505" t="s">
        <v>208</v>
      </c>
      <c r="G115" s="530">
        <f>I115/H115</f>
        <v>172916.66666666666</v>
      </c>
      <c r="H115" s="530">
        <v>12</v>
      </c>
      <c r="I115" s="719">
        <f>+C115/1000</f>
        <v>2075000</v>
      </c>
      <c r="J115" s="728"/>
      <c r="K115" s="491"/>
      <c r="L115" s="491"/>
      <c r="M115" s="491"/>
      <c r="N115" s="491"/>
      <c r="P115" s="603"/>
      <c r="R115" s="491"/>
    </row>
    <row r="116" spans="1:18" s="601" customFormat="1" ht="15" customHeight="1">
      <c r="A116" s="514"/>
      <c r="B116" s="515" t="s">
        <v>209</v>
      </c>
      <c r="C116" s="697">
        <f>+D116</f>
        <v>2075000000</v>
      </c>
      <c r="D116" s="699">
        <v>2075000000</v>
      </c>
      <c r="E116" s="518">
        <f t="shared" si="6"/>
        <v>0</v>
      </c>
      <c r="F116" s="519" t="s">
        <v>754</v>
      </c>
      <c r="G116" s="520">
        <f>I116/H116</f>
        <v>172916.66666666666</v>
      </c>
      <c r="H116" s="520">
        <v>12</v>
      </c>
      <c r="I116" s="528">
        <f>+C116/1000</f>
        <v>2075000</v>
      </c>
      <c r="J116" s="728"/>
      <c r="K116" s="491"/>
      <c r="L116" s="491"/>
      <c r="M116" s="491"/>
      <c r="N116" s="491"/>
      <c r="P116" s="603"/>
      <c r="R116" s="491"/>
    </row>
    <row r="117" spans="1:19" s="601" customFormat="1" ht="15" customHeight="1">
      <c r="A117" s="533" t="s">
        <v>211</v>
      </c>
      <c r="B117" s="534"/>
      <c r="C117" s="696">
        <f>C118</f>
        <v>1265000000</v>
      </c>
      <c r="D117" s="696">
        <f>D118</f>
        <v>1265000000</v>
      </c>
      <c r="E117" s="535">
        <f t="shared" si="6"/>
        <v>0</v>
      </c>
      <c r="F117" s="505"/>
      <c r="G117" s="530"/>
      <c r="H117" s="530"/>
      <c r="I117" s="531"/>
      <c r="J117" s="555"/>
      <c r="K117" s="491"/>
      <c r="L117" s="491"/>
      <c r="M117" s="491"/>
      <c r="N117" s="491"/>
      <c r="P117" s="603"/>
      <c r="R117" s="491"/>
      <c r="S117" s="626"/>
    </row>
    <row r="118" spans="1:18" s="601" customFormat="1" ht="15" customHeight="1">
      <c r="A118" s="502" t="s">
        <v>212</v>
      </c>
      <c r="B118" s="503"/>
      <c r="C118" s="697">
        <f>SUM(C119:C120)</f>
        <v>1265000000</v>
      </c>
      <c r="D118" s="697">
        <f>SUM(D119:D120)</f>
        <v>1265000000</v>
      </c>
      <c r="E118" s="504">
        <f t="shared" si="6"/>
        <v>0</v>
      </c>
      <c r="F118" s="505"/>
      <c r="G118" s="530"/>
      <c r="H118" s="530"/>
      <c r="I118" s="531"/>
      <c r="J118" s="555"/>
      <c r="K118" s="491"/>
      <c r="L118" s="491"/>
      <c r="M118" s="491"/>
      <c r="N118" s="491"/>
      <c r="P118" s="603"/>
      <c r="R118" s="491"/>
    </row>
    <row r="119" spans="1:18" s="601" customFormat="1" ht="15" customHeight="1">
      <c r="A119" s="506"/>
      <c r="B119" s="503" t="s">
        <v>213</v>
      </c>
      <c r="C119" s="697">
        <v>1265000000</v>
      </c>
      <c r="D119" s="698">
        <v>1265000000</v>
      </c>
      <c r="E119" s="504">
        <f t="shared" si="6"/>
        <v>0</v>
      </c>
      <c r="F119" s="505" t="s">
        <v>755</v>
      </c>
      <c r="G119" s="530">
        <f>I119/H119</f>
        <v>105416.66666666667</v>
      </c>
      <c r="H119" s="530">
        <v>12</v>
      </c>
      <c r="I119" s="719">
        <f>+C119/1000</f>
        <v>1265000</v>
      </c>
      <c r="J119" s="555"/>
      <c r="K119" s="491"/>
      <c r="L119" s="491"/>
      <c r="M119" s="491"/>
      <c r="N119" s="491"/>
      <c r="P119" s="603"/>
      <c r="R119" s="491"/>
    </row>
    <row r="120" spans="1:18" s="601" customFormat="1" ht="15" customHeight="1">
      <c r="A120" s="510"/>
      <c r="B120" s="507" t="s">
        <v>215</v>
      </c>
      <c r="C120" s="697">
        <v>0</v>
      </c>
      <c r="D120" s="697">
        <v>0</v>
      </c>
      <c r="E120" s="508">
        <f t="shared" si="6"/>
        <v>0</v>
      </c>
      <c r="F120" s="543"/>
      <c r="G120" s="523"/>
      <c r="H120" s="523"/>
      <c r="I120" s="524"/>
      <c r="J120" s="555"/>
      <c r="K120" s="491"/>
      <c r="L120" s="491"/>
      <c r="M120" s="491"/>
      <c r="N120" s="491"/>
      <c r="P120" s="603"/>
      <c r="R120" s="491"/>
    </row>
    <row r="121" spans="1:19" s="601" customFormat="1" ht="15" customHeight="1">
      <c r="A121" s="533" t="s">
        <v>216</v>
      </c>
      <c r="B121" s="534"/>
      <c r="C121" s="696">
        <f>SUM(C122+C124)</f>
        <v>3500000000</v>
      </c>
      <c r="D121" s="696">
        <f>SUM(D122+D124)</f>
        <v>3500000000</v>
      </c>
      <c r="E121" s="535">
        <f t="shared" si="6"/>
        <v>0</v>
      </c>
      <c r="F121" s="505"/>
      <c r="G121" s="530"/>
      <c r="H121" s="530"/>
      <c r="I121" s="531"/>
      <c r="J121" s="555"/>
      <c r="K121" s="491"/>
      <c r="L121" s="491"/>
      <c r="M121" s="491"/>
      <c r="N121" s="491"/>
      <c r="P121" s="603"/>
      <c r="R121" s="491"/>
      <c r="S121" s="626"/>
    </row>
    <row r="122" spans="1:18" s="601" customFormat="1" ht="15" customHeight="1">
      <c r="A122" s="502" t="s">
        <v>217</v>
      </c>
      <c r="B122" s="503"/>
      <c r="C122" s="697">
        <f>SUM(C123)</f>
        <v>0</v>
      </c>
      <c r="D122" s="697">
        <f>SUM(D123)</f>
        <v>0</v>
      </c>
      <c r="E122" s="504">
        <f t="shared" si="6"/>
        <v>0</v>
      </c>
      <c r="F122" s="505"/>
      <c r="G122" s="530"/>
      <c r="H122" s="530"/>
      <c r="I122" s="531"/>
      <c r="J122" s="555"/>
      <c r="K122" s="491"/>
      <c r="L122" s="491"/>
      <c r="M122" s="491"/>
      <c r="N122" s="491"/>
      <c r="P122" s="603"/>
      <c r="R122" s="491"/>
    </row>
    <row r="123" spans="1:18" s="601" customFormat="1" ht="15" customHeight="1">
      <c r="A123" s="506"/>
      <c r="B123" s="507" t="s">
        <v>218</v>
      </c>
      <c r="C123" s="701">
        <v>0</v>
      </c>
      <c r="D123" s="701">
        <v>0</v>
      </c>
      <c r="E123" s="508">
        <f t="shared" si="6"/>
        <v>0</v>
      </c>
      <c r="F123" s="532"/>
      <c r="G123" s="509"/>
      <c r="H123" s="509"/>
      <c r="I123" s="524"/>
      <c r="J123" s="555"/>
      <c r="K123" s="491"/>
      <c r="L123" s="491"/>
      <c r="M123" s="491"/>
      <c r="N123" s="491"/>
      <c r="P123" s="603"/>
      <c r="R123" s="491"/>
    </row>
    <row r="124" spans="1:18" s="601" customFormat="1" ht="15" customHeight="1">
      <c r="A124" s="502" t="s">
        <v>219</v>
      </c>
      <c r="B124" s="503"/>
      <c r="C124" s="697">
        <f>SUM(C125:C127)</f>
        <v>3500000000</v>
      </c>
      <c r="D124" s="697">
        <f>SUM(D125:D127)</f>
        <v>3500000000</v>
      </c>
      <c r="E124" s="504">
        <f t="shared" si="6"/>
        <v>0</v>
      </c>
      <c r="F124" s="505"/>
      <c r="G124" s="530"/>
      <c r="H124" s="530"/>
      <c r="I124" s="531"/>
      <c r="J124" s="555"/>
      <c r="K124" s="491"/>
      <c r="L124" s="491"/>
      <c r="M124" s="491"/>
      <c r="N124" s="491"/>
      <c r="P124" s="603"/>
      <c r="R124" s="491"/>
    </row>
    <row r="125" spans="1:18" s="601" customFormat="1" ht="15" customHeight="1">
      <c r="A125" s="506"/>
      <c r="B125" s="503" t="s">
        <v>220</v>
      </c>
      <c r="C125" s="697">
        <v>500000000</v>
      </c>
      <c r="D125" s="699">
        <v>500000000</v>
      </c>
      <c r="E125" s="504">
        <f t="shared" si="6"/>
        <v>0</v>
      </c>
      <c r="F125" s="578" t="s">
        <v>756</v>
      </c>
      <c r="G125" s="579"/>
      <c r="H125" s="579"/>
      <c r="I125" s="720">
        <f>+C125/1000</f>
        <v>500000</v>
      </c>
      <c r="J125" s="555"/>
      <c r="K125" s="491"/>
      <c r="L125" s="491"/>
      <c r="M125" s="491"/>
      <c r="N125" s="491"/>
      <c r="P125" s="603"/>
      <c r="R125" s="491"/>
    </row>
    <row r="126" spans="1:18" s="601" customFormat="1" ht="15" customHeight="1">
      <c r="A126" s="510"/>
      <c r="B126" s="585" t="s">
        <v>757</v>
      </c>
      <c r="C126" s="697">
        <v>3000000000</v>
      </c>
      <c r="D126" s="697">
        <v>3000000000</v>
      </c>
      <c r="E126" s="586">
        <f t="shared" si="6"/>
        <v>0</v>
      </c>
      <c r="F126" s="578" t="s">
        <v>758</v>
      </c>
      <c r="G126" s="591"/>
      <c r="H126" s="587"/>
      <c r="I126" s="720">
        <f>+C126/1000</f>
        <v>3000000</v>
      </c>
      <c r="J126" s="727"/>
      <c r="K126" s="491"/>
      <c r="L126" s="491"/>
      <c r="M126" s="491"/>
      <c r="N126" s="491"/>
      <c r="P126" s="603"/>
      <c r="R126" s="491"/>
    </row>
    <row r="127" spans="1:18" s="601" customFormat="1" ht="15" customHeight="1">
      <c r="A127" s="514"/>
      <c r="B127" s="503" t="s">
        <v>759</v>
      </c>
      <c r="C127" s="697">
        <v>0</v>
      </c>
      <c r="D127" s="697">
        <v>0</v>
      </c>
      <c r="E127" s="504">
        <f t="shared" si="6"/>
        <v>0</v>
      </c>
      <c r="F127" s="565"/>
      <c r="G127" s="566"/>
      <c r="H127" s="567"/>
      <c r="I127" s="568"/>
      <c r="J127" s="555"/>
      <c r="K127" s="491"/>
      <c r="L127" s="491"/>
      <c r="M127" s="491"/>
      <c r="N127" s="491"/>
      <c r="P127" s="603"/>
      <c r="R127" s="491"/>
    </row>
    <row r="128" spans="1:19" s="601" customFormat="1" ht="15" customHeight="1">
      <c r="A128" s="533" t="s">
        <v>224</v>
      </c>
      <c r="B128" s="534"/>
      <c r="C128" s="696">
        <f>SUM(C129)</f>
        <v>12210000000</v>
      </c>
      <c r="D128" s="696">
        <f>SUM(D129)</f>
        <v>90398185812</v>
      </c>
      <c r="E128" s="535">
        <f t="shared" si="6"/>
        <v>-78188185812</v>
      </c>
      <c r="F128" s="505"/>
      <c r="G128" s="530"/>
      <c r="H128" s="530"/>
      <c r="I128" s="531"/>
      <c r="J128" s="555"/>
      <c r="K128" s="491"/>
      <c r="L128" s="491"/>
      <c r="M128" s="491"/>
      <c r="N128" s="491"/>
      <c r="P128" s="603"/>
      <c r="R128" s="491"/>
      <c r="S128" s="626"/>
    </row>
    <row r="129" spans="1:18" s="601" customFormat="1" ht="15" customHeight="1">
      <c r="A129" s="502" t="s">
        <v>225</v>
      </c>
      <c r="B129" s="503"/>
      <c r="C129" s="697">
        <f>SUM(C130:C135)</f>
        <v>12210000000</v>
      </c>
      <c r="D129" s="697">
        <f>SUM(D130:D137)</f>
        <v>90398185812</v>
      </c>
      <c r="E129" s="504">
        <f>SUM(E130:E135)</f>
        <v>-78188185812</v>
      </c>
      <c r="F129" s="505"/>
      <c r="G129" s="530"/>
      <c r="H129" s="530"/>
      <c r="I129" s="531"/>
      <c r="J129" s="555"/>
      <c r="K129" s="491"/>
      <c r="L129" s="491"/>
      <c r="M129" s="491"/>
      <c r="N129" s="491"/>
      <c r="P129" s="603"/>
      <c r="R129" s="491"/>
    </row>
    <row r="130" spans="1:18" s="601" customFormat="1" ht="15" customHeight="1">
      <c r="A130" s="510"/>
      <c r="B130" s="564" t="s">
        <v>226</v>
      </c>
      <c r="C130" s="702">
        <v>5500000000</v>
      </c>
      <c r="D130" s="702">
        <v>9900000000</v>
      </c>
      <c r="E130" s="525">
        <f t="shared" si="6"/>
        <v>-4400000000</v>
      </c>
      <c r="F130" s="536" t="s">
        <v>760</v>
      </c>
      <c r="G130" s="522"/>
      <c r="H130" s="522"/>
      <c r="I130" s="526">
        <f>+C130/1000</f>
        <v>5500000</v>
      </c>
      <c r="J130" s="555"/>
      <c r="K130" s="491"/>
      <c r="L130" s="491"/>
      <c r="M130" s="491"/>
      <c r="N130" s="491"/>
      <c r="P130" s="603"/>
      <c r="R130" s="491"/>
    </row>
    <row r="131" spans="1:18" s="601" customFormat="1" ht="15" customHeight="1">
      <c r="A131" s="510"/>
      <c r="B131" s="564"/>
      <c r="C131" s="702"/>
      <c r="D131" s="704"/>
      <c r="E131" s="525"/>
      <c r="F131" s="522"/>
      <c r="G131" s="522"/>
      <c r="H131" s="522"/>
      <c r="I131" s="526"/>
      <c r="J131" s="555"/>
      <c r="K131" s="491"/>
      <c r="L131" s="491"/>
      <c r="M131" s="491"/>
      <c r="N131" s="491"/>
      <c r="P131" s="603"/>
      <c r="R131" s="491"/>
    </row>
    <row r="132" spans="1:18" s="601" customFormat="1" ht="15" customHeight="1">
      <c r="A132" s="510"/>
      <c r="B132" s="511"/>
      <c r="C132" s="702"/>
      <c r="D132" s="702"/>
      <c r="E132" s="525"/>
      <c r="F132" s="529" t="s">
        <v>704</v>
      </c>
      <c r="G132" s="529"/>
      <c r="H132" s="529"/>
      <c r="I132" s="560">
        <f>+I131+I130</f>
        <v>5500000</v>
      </c>
      <c r="J132" s="555"/>
      <c r="K132" s="491"/>
      <c r="L132" s="491"/>
      <c r="M132" s="491"/>
      <c r="N132" s="491"/>
      <c r="P132" s="603"/>
      <c r="R132" s="491"/>
    </row>
    <row r="133" spans="1:18" s="601" customFormat="1" ht="15" customHeight="1">
      <c r="A133" s="510"/>
      <c r="B133" s="503" t="s">
        <v>761</v>
      </c>
      <c r="C133" s="697">
        <v>0</v>
      </c>
      <c r="D133" s="697">
        <v>0</v>
      </c>
      <c r="E133" s="504">
        <f t="shared" si="6"/>
        <v>0</v>
      </c>
      <c r="F133" s="505"/>
      <c r="G133" s="530"/>
      <c r="H133" s="530" t="s">
        <v>20</v>
      </c>
      <c r="I133" s="531"/>
      <c r="J133" s="555"/>
      <c r="K133" s="491"/>
      <c r="L133" s="491"/>
      <c r="M133" s="491"/>
      <c r="N133" s="491"/>
      <c r="P133" s="603"/>
      <c r="R133" s="491"/>
    </row>
    <row r="134" spans="1:18" s="601" customFormat="1" ht="15" customHeight="1">
      <c r="A134" s="514"/>
      <c r="B134" s="515" t="s">
        <v>228</v>
      </c>
      <c r="C134" s="698">
        <v>0</v>
      </c>
      <c r="D134" s="698">
        <v>0</v>
      </c>
      <c r="E134" s="518">
        <f t="shared" si="6"/>
        <v>0</v>
      </c>
      <c r="F134" s="519"/>
      <c r="G134" s="520"/>
      <c r="H134" s="520"/>
      <c r="I134" s="521"/>
      <c r="J134" s="555"/>
      <c r="K134" s="491"/>
      <c r="L134" s="491"/>
      <c r="M134" s="491"/>
      <c r="N134" s="491"/>
      <c r="P134" s="603"/>
      <c r="R134" s="491"/>
    </row>
    <row r="135" spans="1:18" s="601" customFormat="1" ht="15" customHeight="1">
      <c r="A135" s="506"/>
      <c r="B135" s="511" t="s">
        <v>762</v>
      </c>
      <c r="C135" s="702">
        <f>7850000000+360000000-1500000000</f>
        <v>6710000000</v>
      </c>
      <c r="D135" s="702">
        <v>80498185812</v>
      </c>
      <c r="E135" s="525">
        <f t="shared" si="6"/>
        <v>-73788185812</v>
      </c>
      <c r="F135" s="536" t="s">
        <v>760</v>
      </c>
      <c r="G135" s="522"/>
      <c r="H135" s="522"/>
      <c r="I135" s="526">
        <f>+C135/1000</f>
        <v>6710000</v>
      </c>
      <c r="J135" s="555"/>
      <c r="K135" s="491"/>
      <c r="L135" s="491"/>
      <c r="M135" s="491"/>
      <c r="N135" s="491"/>
      <c r="P135" s="603"/>
      <c r="R135" s="491"/>
    </row>
    <row r="136" spans="1:18" s="601" customFormat="1" ht="15" customHeight="1">
      <c r="A136" s="510"/>
      <c r="B136" s="511"/>
      <c r="C136" s="702"/>
      <c r="D136" s="702"/>
      <c r="E136" s="525"/>
      <c r="F136" s="536"/>
      <c r="G136" s="522"/>
      <c r="H136" s="522"/>
      <c r="I136" s="526"/>
      <c r="J136" s="555"/>
      <c r="K136" s="491"/>
      <c r="L136" s="491"/>
      <c r="M136" s="491"/>
      <c r="N136" s="491"/>
      <c r="P136" s="603"/>
      <c r="R136" s="491"/>
    </row>
    <row r="137" spans="1:18" s="601" customFormat="1" ht="15" customHeight="1">
      <c r="A137" s="514"/>
      <c r="B137" s="515"/>
      <c r="C137" s="698"/>
      <c r="D137" s="698"/>
      <c r="E137" s="518"/>
      <c r="F137" s="529" t="s">
        <v>704</v>
      </c>
      <c r="G137" s="520"/>
      <c r="H137" s="520"/>
      <c r="I137" s="528">
        <f>SUM(I135:I136)</f>
        <v>6710000</v>
      </c>
      <c r="J137" s="555"/>
      <c r="K137" s="491"/>
      <c r="L137" s="491"/>
      <c r="M137" s="491"/>
      <c r="N137" s="491"/>
      <c r="P137" s="603"/>
      <c r="R137" s="491"/>
    </row>
    <row r="138" spans="1:19" s="601" customFormat="1" ht="15" customHeight="1">
      <c r="A138" s="544" t="s">
        <v>763</v>
      </c>
      <c r="B138" s="515"/>
      <c r="C138" s="716">
        <f>SUM(C139)</f>
        <v>5000000000</v>
      </c>
      <c r="D138" s="716">
        <f>SUM(D139)</f>
        <v>5000000000</v>
      </c>
      <c r="E138" s="516">
        <f t="shared" si="6"/>
        <v>0</v>
      </c>
      <c r="F138" s="505"/>
      <c r="G138" s="520"/>
      <c r="H138" s="520"/>
      <c r="I138" s="521"/>
      <c r="J138" s="555"/>
      <c r="K138" s="491"/>
      <c r="L138" s="491"/>
      <c r="M138" s="491"/>
      <c r="N138" s="491"/>
      <c r="P138" s="603"/>
      <c r="R138" s="491"/>
      <c r="S138" s="626"/>
    </row>
    <row r="139" spans="1:18" s="601" customFormat="1" ht="15" customHeight="1">
      <c r="A139" s="502" t="s">
        <v>764</v>
      </c>
      <c r="B139" s="503"/>
      <c r="C139" s="697">
        <f>SUM(C140)</f>
        <v>5000000000</v>
      </c>
      <c r="D139" s="697">
        <f>SUM(D140)</f>
        <v>5000000000</v>
      </c>
      <c r="E139" s="504">
        <f t="shared" si="6"/>
        <v>0</v>
      </c>
      <c r="F139" s="505"/>
      <c r="G139" s="530"/>
      <c r="H139" s="530"/>
      <c r="I139" s="531"/>
      <c r="J139" s="555"/>
      <c r="K139" s="491"/>
      <c r="L139" s="491"/>
      <c r="M139" s="491"/>
      <c r="N139" s="491"/>
      <c r="P139" s="603"/>
      <c r="R139" s="491"/>
    </row>
    <row r="140" spans="1:18" s="601" customFormat="1" ht="15" customHeight="1">
      <c r="A140" s="502"/>
      <c r="B140" s="503" t="s">
        <v>765</v>
      </c>
      <c r="C140" s="697">
        <v>5000000000</v>
      </c>
      <c r="D140" s="697">
        <v>5000000000</v>
      </c>
      <c r="E140" s="504">
        <f t="shared" si="6"/>
        <v>0</v>
      </c>
      <c r="F140" s="505" t="s">
        <v>766</v>
      </c>
      <c r="G140" s="530"/>
      <c r="H140" s="530"/>
      <c r="I140" s="719">
        <v>5000000</v>
      </c>
      <c r="J140" s="555"/>
      <c r="K140" s="491"/>
      <c r="L140" s="491"/>
      <c r="M140" s="491"/>
      <c r="N140" s="491"/>
      <c r="P140" s="603"/>
      <c r="R140" s="491"/>
    </row>
    <row r="141" spans="1:19" s="601" customFormat="1" ht="15" customHeight="1">
      <c r="A141" s="533" t="s">
        <v>767</v>
      </c>
      <c r="B141" s="534"/>
      <c r="C141" s="696">
        <f>SUM(C142:C142)</f>
        <v>0</v>
      </c>
      <c r="D141" s="696">
        <f>SUM(D142:D142)</f>
        <v>0</v>
      </c>
      <c r="E141" s="535">
        <f t="shared" si="6"/>
        <v>0</v>
      </c>
      <c r="F141" s="505"/>
      <c r="G141" s="530"/>
      <c r="H141" s="530"/>
      <c r="I141" s="531"/>
      <c r="J141" s="555"/>
      <c r="K141" s="491"/>
      <c r="L141" s="491"/>
      <c r="M141" s="491"/>
      <c r="N141" s="491"/>
      <c r="P141" s="603"/>
      <c r="R141" s="491"/>
      <c r="S141" s="626"/>
    </row>
    <row r="142" spans="1:18" s="601" customFormat="1" ht="15" customHeight="1">
      <c r="A142" s="506"/>
      <c r="B142" s="503" t="s">
        <v>768</v>
      </c>
      <c r="C142" s="697"/>
      <c r="D142" s="697"/>
      <c r="E142" s="504">
        <f t="shared" si="6"/>
        <v>0</v>
      </c>
      <c r="F142" s="505"/>
      <c r="G142" s="530"/>
      <c r="H142" s="722"/>
      <c r="I142" s="531"/>
      <c r="J142" s="555"/>
      <c r="K142" s="491"/>
      <c r="L142" s="491"/>
      <c r="M142" s="491"/>
      <c r="N142" s="491"/>
      <c r="P142" s="603"/>
      <c r="R142" s="491"/>
    </row>
    <row r="143" spans="1:18" s="601" customFormat="1" ht="15" customHeight="1">
      <c r="A143" s="533" t="s">
        <v>769</v>
      </c>
      <c r="B143" s="534"/>
      <c r="C143" s="696">
        <f>C144+C147</f>
        <v>0</v>
      </c>
      <c r="D143" s="696">
        <f>D144+D147</f>
        <v>0</v>
      </c>
      <c r="E143" s="535">
        <f t="shared" si="6"/>
        <v>0</v>
      </c>
      <c r="F143" s="505"/>
      <c r="G143" s="530"/>
      <c r="H143" s="530"/>
      <c r="I143" s="531"/>
      <c r="J143" s="555"/>
      <c r="K143" s="491"/>
      <c r="L143" s="491"/>
      <c r="M143" s="491"/>
      <c r="N143" s="491"/>
      <c r="P143" s="603"/>
      <c r="R143" s="491"/>
    </row>
    <row r="144" spans="1:18" s="601" customFormat="1" ht="15" customHeight="1">
      <c r="A144" s="502" t="s">
        <v>770</v>
      </c>
      <c r="B144" s="503"/>
      <c r="C144" s="697">
        <f>SUM(C145:C146)</f>
        <v>0</v>
      </c>
      <c r="D144" s="697">
        <f>SUM(D145:D146)</f>
        <v>0</v>
      </c>
      <c r="E144" s="504">
        <f t="shared" si="6"/>
        <v>0</v>
      </c>
      <c r="F144" s="505"/>
      <c r="G144" s="530"/>
      <c r="H144" s="530"/>
      <c r="I144" s="531"/>
      <c r="J144" s="555"/>
      <c r="K144" s="491"/>
      <c r="L144" s="491"/>
      <c r="M144" s="491"/>
      <c r="N144" s="491"/>
      <c r="P144" s="603"/>
      <c r="R144" s="491"/>
    </row>
    <row r="145" spans="1:18" s="601" customFormat="1" ht="15" customHeight="1">
      <c r="A145" s="597"/>
      <c r="B145" s="503" t="s">
        <v>771</v>
      </c>
      <c r="C145" s="697">
        <f>I145</f>
        <v>0</v>
      </c>
      <c r="D145" s="697">
        <v>0</v>
      </c>
      <c r="E145" s="504">
        <f aca="true" t="shared" si="8" ref="E145:E182">C145-D145</f>
        <v>0</v>
      </c>
      <c r="F145" s="505"/>
      <c r="G145" s="530"/>
      <c r="H145" s="530"/>
      <c r="I145" s="531"/>
      <c r="J145" s="555"/>
      <c r="K145" s="491"/>
      <c r="L145" s="491"/>
      <c r="M145" s="491"/>
      <c r="N145" s="491"/>
      <c r="P145" s="603"/>
      <c r="R145" s="491"/>
    </row>
    <row r="146" spans="1:18" s="601" customFormat="1" ht="15" customHeight="1">
      <c r="A146" s="544"/>
      <c r="B146" s="515" t="s">
        <v>772</v>
      </c>
      <c r="C146" s="698">
        <v>0</v>
      </c>
      <c r="D146" s="698">
        <v>0</v>
      </c>
      <c r="E146" s="518">
        <f t="shared" si="8"/>
        <v>0</v>
      </c>
      <c r="F146" s="519"/>
      <c r="G146" s="520"/>
      <c r="H146" s="520"/>
      <c r="I146" s="521"/>
      <c r="J146" s="555"/>
      <c r="K146" s="491"/>
      <c r="L146" s="491"/>
      <c r="M146" s="491"/>
      <c r="N146" s="491"/>
      <c r="P146" s="603"/>
      <c r="R146" s="491"/>
    </row>
    <row r="147" spans="1:18" s="601" customFormat="1" ht="15" customHeight="1">
      <c r="A147" s="502" t="s">
        <v>235</v>
      </c>
      <c r="B147" s="503"/>
      <c r="C147" s="697">
        <f>SUM(C148:C150)</f>
        <v>0</v>
      </c>
      <c r="D147" s="697">
        <f>SUM(D148:D150)</f>
        <v>0</v>
      </c>
      <c r="E147" s="504">
        <f t="shared" si="8"/>
        <v>0</v>
      </c>
      <c r="F147" s="505"/>
      <c r="G147" s="530"/>
      <c r="H147" s="530"/>
      <c r="I147" s="531"/>
      <c r="J147" s="555"/>
      <c r="K147" s="491"/>
      <c r="L147" s="491"/>
      <c r="M147" s="491"/>
      <c r="N147" s="491"/>
      <c r="P147" s="603"/>
      <c r="R147" s="491"/>
    </row>
    <row r="148" spans="1:18" s="601" customFormat="1" ht="15" customHeight="1">
      <c r="A148" s="506"/>
      <c r="B148" s="503" t="s">
        <v>236</v>
      </c>
      <c r="C148" s="697">
        <v>0</v>
      </c>
      <c r="D148" s="697">
        <v>0</v>
      </c>
      <c r="E148" s="504">
        <f t="shared" si="8"/>
        <v>0</v>
      </c>
      <c r="F148" s="505"/>
      <c r="G148" s="530"/>
      <c r="H148" s="530"/>
      <c r="I148" s="531"/>
      <c r="J148" s="555"/>
      <c r="K148" s="491"/>
      <c r="L148" s="491"/>
      <c r="M148" s="491"/>
      <c r="N148" s="491"/>
      <c r="P148" s="603"/>
      <c r="R148" s="491"/>
    </row>
    <row r="149" spans="1:18" s="601" customFormat="1" ht="15" customHeight="1">
      <c r="A149" s="510"/>
      <c r="B149" s="503" t="s">
        <v>237</v>
      </c>
      <c r="C149" s="697">
        <v>0</v>
      </c>
      <c r="D149" s="697">
        <v>0</v>
      </c>
      <c r="E149" s="504">
        <f t="shared" si="8"/>
        <v>0</v>
      </c>
      <c r="F149" s="505"/>
      <c r="G149" s="530"/>
      <c r="H149" s="530"/>
      <c r="I149" s="531"/>
      <c r="J149" s="555"/>
      <c r="K149" s="491"/>
      <c r="L149" s="491"/>
      <c r="M149" s="491"/>
      <c r="N149" s="491"/>
      <c r="P149" s="603"/>
      <c r="R149" s="491"/>
    </row>
    <row r="150" spans="1:18" s="601" customFormat="1" ht="15" customHeight="1">
      <c r="A150" s="514"/>
      <c r="B150" s="503" t="s">
        <v>238</v>
      </c>
      <c r="C150" s="697">
        <v>0</v>
      </c>
      <c r="D150" s="697">
        <v>0</v>
      </c>
      <c r="E150" s="504">
        <f t="shared" si="8"/>
        <v>0</v>
      </c>
      <c r="F150" s="505" t="s">
        <v>681</v>
      </c>
      <c r="G150" s="530"/>
      <c r="H150" s="530" t="s">
        <v>681</v>
      </c>
      <c r="I150" s="531"/>
      <c r="J150" s="555"/>
      <c r="K150" s="491"/>
      <c r="L150" s="491"/>
      <c r="M150" s="491"/>
      <c r="N150" s="491"/>
      <c r="P150" s="603"/>
      <c r="R150" s="491"/>
    </row>
    <row r="151" spans="1:19" s="601" customFormat="1" ht="15" customHeight="1">
      <c r="A151" s="533" t="s">
        <v>239</v>
      </c>
      <c r="B151" s="534"/>
      <c r="C151" s="696">
        <f>+C152+C168</f>
        <v>14001000000</v>
      </c>
      <c r="D151" s="696">
        <f>SUM(D152)+D168</f>
        <v>14637317628</v>
      </c>
      <c r="E151" s="535">
        <f t="shared" si="8"/>
        <v>-636317628</v>
      </c>
      <c r="F151" s="505"/>
      <c r="G151" s="530"/>
      <c r="H151" s="530"/>
      <c r="I151" s="531"/>
      <c r="J151" s="555"/>
      <c r="K151" s="491"/>
      <c r="L151" s="491"/>
      <c r="M151" s="491"/>
      <c r="N151" s="491"/>
      <c r="P151" s="603"/>
      <c r="R151" s="491"/>
      <c r="S151" s="626"/>
    </row>
    <row r="152" spans="1:18" s="601" customFormat="1" ht="15" customHeight="1">
      <c r="A152" s="502" t="s">
        <v>240</v>
      </c>
      <c r="B152" s="503"/>
      <c r="C152" s="697">
        <f>SUM(C153:C167)</f>
        <v>13801000000</v>
      </c>
      <c r="D152" s="698">
        <f>SUM(D153:D171)</f>
        <v>14637317628</v>
      </c>
      <c r="E152" s="504">
        <f t="shared" si="8"/>
        <v>-836317628</v>
      </c>
      <c r="F152" s="505"/>
      <c r="G152" s="530"/>
      <c r="H152" s="530"/>
      <c r="I152" s="531"/>
      <c r="J152" s="555"/>
      <c r="K152" s="491"/>
      <c r="L152" s="491"/>
      <c r="M152" s="491"/>
      <c r="N152" s="491"/>
      <c r="P152" s="603"/>
      <c r="R152" s="491"/>
    </row>
    <row r="153" spans="1:18" s="601" customFormat="1" ht="15" customHeight="1">
      <c r="A153" s="510"/>
      <c r="B153" s="511" t="s">
        <v>241</v>
      </c>
      <c r="C153" s="699">
        <v>0</v>
      </c>
      <c r="D153" s="700">
        <v>1648000000</v>
      </c>
      <c r="E153" s="588">
        <f t="shared" si="8"/>
        <v>-1648000000</v>
      </c>
      <c r="F153" s="536"/>
      <c r="G153" s="522"/>
      <c r="H153" s="522"/>
      <c r="I153" s="526"/>
      <c r="J153" s="555"/>
      <c r="K153" s="491"/>
      <c r="L153" s="491"/>
      <c r="M153" s="491"/>
      <c r="N153" s="491"/>
      <c r="P153" s="603"/>
      <c r="R153" s="491"/>
    </row>
    <row r="154" spans="1:18" s="601" customFormat="1" ht="15" customHeight="1">
      <c r="A154" s="510"/>
      <c r="B154" s="503" t="s">
        <v>773</v>
      </c>
      <c r="C154" s="699">
        <v>1200000000</v>
      </c>
      <c r="D154" s="697">
        <v>3409000000</v>
      </c>
      <c r="E154" s="586">
        <f t="shared" si="8"/>
        <v>-2209000000</v>
      </c>
      <c r="F154" s="530" t="s">
        <v>774</v>
      </c>
      <c r="G154" s="530"/>
      <c r="H154" s="530"/>
      <c r="I154" s="531">
        <f>+C154/1000</f>
        <v>1200000</v>
      </c>
      <c r="J154" s="487"/>
      <c r="K154" s="491"/>
      <c r="L154" s="491"/>
      <c r="M154" s="491"/>
      <c r="N154" s="491"/>
      <c r="P154" s="603"/>
      <c r="R154" s="491"/>
    </row>
    <row r="155" spans="1:18" s="601" customFormat="1" ht="15" customHeight="1">
      <c r="A155" s="510"/>
      <c r="B155" s="507" t="s">
        <v>775</v>
      </c>
      <c r="C155" s="701">
        <v>6000000000</v>
      </c>
      <c r="D155" s="701">
        <v>5000000000</v>
      </c>
      <c r="E155" s="508">
        <f t="shared" si="8"/>
        <v>1000000000</v>
      </c>
      <c r="F155" s="536" t="s">
        <v>776</v>
      </c>
      <c r="G155" s="522"/>
      <c r="H155" s="522"/>
      <c r="I155" s="526">
        <v>6000000</v>
      </c>
      <c r="J155" s="555"/>
      <c r="K155" s="491"/>
      <c r="L155" s="491"/>
      <c r="M155" s="491"/>
      <c r="N155" s="491"/>
      <c r="P155" s="603"/>
      <c r="R155" s="491"/>
    </row>
    <row r="156" spans="1:18" s="601" customFormat="1" ht="15" customHeight="1">
      <c r="A156" s="510"/>
      <c r="B156" s="511"/>
      <c r="C156" s="702"/>
      <c r="D156" s="702"/>
      <c r="E156" s="525"/>
      <c r="F156" s="536"/>
      <c r="G156" s="522"/>
      <c r="H156" s="522"/>
      <c r="I156" s="592"/>
      <c r="J156" s="555"/>
      <c r="K156" s="491"/>
      <c r="L156" s="491"/>
      <c r="M156" s="491"/>
      <c r="N156" s="491"/>
      <c r="P156" s="603"/>
      <c r="R156" s="491"/>
    </row>
    <row r="157" spans="1:18" s="601" customFormat="1" ht="15" customHeight="1">
      <c r="A157" s="512"/>
      <c r="B157" s="513"/>
      <c r="C157" s="703"/>
      <c r="D157" s="703"/>
      <c r="E157" s="537"/>
      <c r="F157" s="598" t="s">
        <v>147</v>
      </c>
      <c r="G157" s="599"/>
      <c r="H157" s="599"/>
      <c r="I157" s="600">
        <f>SUM(I155:I156)</f>
        <v>6000000</v>
      </c>
      <c r="J157" s="555"/>
      <c r="K157" s="491"/>
      <c r="L157" s="491"/>
      <c r="M157" s="491"/>
      <c r="N157" s="491"/>
      <c r="P157" s="603"/>
      <c r="R157" s="491"/>
    </row>
    <row r="158" spans="1:18" s="601" customFormat="1" ht="15" customHeight="1">
      <c r="A158" s="510" t="s">
        <v>240</v>
      </c>
      <c r="B158" s="511" t="s">
        <v>244</v>
      </c>
      <c r="C158" s="702">
        <v>5100000000</v>
      </c>
      <c r="D158" s="704">
        <v>1900000000</v>
      </c>
      <c r="E158" s="525">
        <f t="shared" si="8"/>
        <v>3200000000</v>
      </c>
      <c r="F158" s="536" t="s">
        <v>777</v>
      </c>
      <c r="G158" s="522"/>
      <c r="H158" s="522"/>
      <c r="I158" s="526">
        <v>100000</v>
      </c>
      <c r="J158" s="555"/>
      <c r="K158" s="491"/>
      <c r="L158" s="491"/>
      <c r="M158" s="491"/>
      <c r="N158" s="491"/>
      <c r="P158" s="603"/>
      <c r="R158" s="491"/>
    </row>
    <row r="159" spans="1:18" s="601" customFormat="1" ht="15" customHeight="1">
      <c r="A159" s="510"/>
      <c r="B159" s="511"/>
      <c r="C159" s="702"/>
      <c r="D159" s="704"/>
      <c r="E159" s="525"/>
      <c r="F159" s="536" t="s">
        <v>778</v>
      </c>
      <c r="G159" s="522"/>
      <c r="H159" s="522"/>
      <c r="I159" s="526">
        <v>500000</v>
      </c>
      <c r="J159" s="555"/>
      <c r="K159" s="491"/>
      <c r="L159" s="491"/>
      <c r="M159" s="491"/>
      <c r="N159" s="491"/>
      <c r="P159" s="603"/>
      <c r="R159" s="491"/>
    </row>
    <row r="160" spans="1:18" s="601" customFormat="1" ht="15" customHeight="1">
      <c r="A160" s="510"/>
      <c r="B160" s="511"/>
      <c r="C160" s="702"/>
      <c r="D160" s="702"/>
      <c r="E160" s="525"/>
      <c r="F160" s="536" t="s">
        <v>779</v>
      </c>
      <c r="G160" s="522"/>
      <c r="H160" s="522"/>
      <c r="I160" s="526">
        <v>4500000</v>
      </c>
      <c r="J160" s="555"/>
      <c r="K160" s="491"/>
      <c r="L160" s="491"/>
      <c r="M160" s="491"/>
      <c r="N160" s="491"/>
      <c r="P160" s="603"/>
      <c r="R160" s="491"/>
    </row>
    <row r="161" spans="1:18" s="601" customFormat="1" ht="15" customHeight="1">
      <c r="A161" s="510"/>
      <c r="B161" s="515"/>
      <c r="C161" s="698"/>
      <c r="D161" s="698"/>
      <c r="E161" s="518"/>
      <c r="F161" s="517" t="s">
        <v>147</v>
      </c>
      <c r="G161" s="520"/>
      <c r="H161" s="520"/>
      <c r="I161" s="528">
        <f>SUM(I158:I160)</f>
        <v>5100000</v>
      </c>
      <c r="J161" s="555"/>
      <c r="K161" s="491"/>
      <c r="L161" s="491"/>
      <c r="M161" s="491"/>
      <c r="N161" s="491"/>
      <c r="P161" s="603"/>
      <c r="R161" s="491"/>
    </row>
    <row r="162" spans="1:18" s="601" customFormat="1" ht="15" customHeight="1">
      <c r="A162" s="510"/>
      <c r="B162" s="571" t="s">
        <v>245</v>
      </c>
      <c r="C162" s="697">
        <v>0</v>
      </c>
      <c r="D162" s="697">
        <v>31000000</v>
      </c>
      <c r="E162" s="572">
        <f t="shared" si="8"/>
        <v>-31000000</v>
      </c>
      <c r="F162" s="543"/>
      <c r="G162" s="523"/>
      <c r="H162" s="523"/>
      <c r="I162" s="524"/>
      <c r="J162" s="555"/>
      <c r="K162" s="491"/>
      <c r="L162" s="491"/>
      <c r="M162" s="491"/>
      <c r="N162" s="491"/>
      <c r="P162" s="603"/>
      <c r="R162" s="491"/>
    </row>
    <row r="163" spans="1:18" s="601" customFormat="1" ht="15" customHeight="1">
      <c r="A163" s="510"/>
      <c r="B163" s="503" t="s">
        <v>246</v>
      </c>
      <c r="C163" s="697">
        <v>1000000</v>
      </c>
      <c r="D163" s="697">
        <v>1000000</v>
      </c>
      <c r="E163" s="572">
        <f t="shared" si="8"/>
        <v>0</v>
      </c>
      <c r="F163" s="505" t="s">
        <v>780</v>
      </c>
      <c r="G163" s="530"/>
      <c r="H163" s="530"/>
      <c r="I163" s="531">
        <v>1000</v>
      </c>
      <c r="J163" s="555"/>
      <c r="K163" s="491"/>
      <c r="L163" s="491"/>
      <c r="M163" s="491"/>
      <c r="N163" s="491"/>
      <c r="P163" s="603"/>
      <c r="R163" s="491"/>
    </row>
    <row r="164" spans="1:18" s="601" customFormat="1" ht="15" customHeight="1">
      <c r="A164" s="510"/>
      <c r="B164" s="507" t="s">
        <v>781</v>
      </c>
      <c r="C164" s="701"/>
      <c r="D164" s="701">
        <v>0</v>
      </c>
      <c r="E164" s="572"/>
      <c r="F164" s="543"/>
      <c r="G164" s="523"/>
      <c r="H164" s="523"/>
      <c r="I164" s="524"/>
      <c r="J164" s="555"/>
      <c r="K164" s="491"/>
      <c r="L164" s="491"/>
      <c r="M164" s="491"/>
      <c r="N164" s="491"/>
      <c r="P164" s="603"/>
      <c r="R164" s="491"/>
    </row>
    <row r="165" spans="1:18" s="601" customFormat="1" ht="15" customHeight="1">
      <c r="A165" s="510"/>
      <c r="B165" s="507" t="s">
        <v>247</v>
      </c>
      <c r="C165" s="701">
        <v>1500000000</v>
      </c>
      <c r="D165" s="701">
        <f>112839471077-110191153449</f>
        <v>2648317628</v>
      </c>
      <c r="E165" s="572">
        <f t="shared" si="8"/>
        <v>-1148317628</v>
      </c>
      <c r="F165" s="543" t="s">
        <v>782</v>
      </c>
      <c r="G165" s="589"/>
      <c r="H165" s="523"/>
      <c r="I165" s="524">
        <v>1000000</v>
      </c>
      <c r="J165" s="555"/>
      <c r="K165" s="491"/>
      <c r="L165" s="491"/>
      <c r="M165" s="491"/>
      <c r="N165" s="491"/>
      <c r="P165" s="603"/>
      <c r="R165" s="491"/>
    </row>
    <row r="166" spans="1:18" s="601" customFormat="1" ht="15" customHeight="1">
      <c r="A166" s="510"/>
      <c r="B166" s="511"/>
      <c r="C166" s="702"/>
      <c r="D166" s="702"/>
      <c r="E166" s="590"/>
      <c r="F166" s="536" t="s">
        <v>783</v>
      </c>
      <c r="G166" s="522"/>
      <c r="H166" s="522"/>
      <c r="I166" s="526">
        <v>500000</v>
      </c>
      <c r="J166" s="555"/>
      <c r="K166" s="491"/>
      <c r="L166" s="491"/>
      <c r="M166" s="491"/>
      <c r="N166" s="491"/>
      <c r="P166" s="603"/>
      <c r="R166" s="491"/>
    </row>
    <row r="167" spans="1:18" s="601" customFormat="1" ht="15" customHeight="1">
      <c r="A167" s="514"/>
      <c r="B167" s="515"/>
      <c r="C167" s="698"/>
      <c r="D167" s="698"/>
      <c r="E167" s="590"/>
      <c r="F167" s="517" t="s">
        <v>147</v>
      </c>
      <c r="G167" s="520"/>
      <c r="H167" s="520"/>
      <c r="I167" s="528">
        <f>SUM(I165:I166)</f>
        <v>1500000</v>
      </c>
      <c r="J167" s="555"/>
      <c r="K167" s="491"/>
      <c r="L167" s="491"/>
      <c r="M167" s="491"/>
      <c r="N167" s="491"/>
      <c r="P167" s="603"/>
      <c r="R167" s="491"/>
    </row>
    <row r="168" spans="1:18" s="601" customFormat="1" ht="15" customHeight="1">
      <c r="A168" s="502" t="s">
        <v>784</v>
      </c>
      <c r="B168" s="515"/>
      <c r="C168" s="698">
        <f>+C169</f>
        <v>200000000</v>
      </c>
      <c r="D168" s="698">
        <f>+D169</f>
        <v>0</v>
      </c>
      <c r="E168" s="723">
        <f t="shared" si="8"/>
        <v>200000000</v>
      </c>
      <c r="F168" s="517"/>
      <c r="G168" s="520"/>
      <c r="H168" s="520"/>
      <c r="I168" s="528"/>
      <c r="J168" s="555"/>
      <c r="K168" s="491"/>
      <c r="L168" s="491"/>
      <c r="M168" s="491"/>
      <c r="N168" s="491"/>
      <c r="P168" s="603"/>
      <c r="R168" s="491"/>
    </row>
    <row r="169" spans="1:18" s="601" customFormat="1" ht="15" customHeight="1">
      <c r="A169" s="502"/>
      <c r="B169" s="515" t="s">
        <v>785</v>
      </c>
      <c r="C169" s="698">
        <v>200000000</v>
      </c>
      <c r="D169" s="698">
        <v>0</v>
      </c>
      <c r="E169" s="723">
        <f t="shared" si="8"/>
        <v>200000000</v>
      </c>
      <c r="F169" s="724" t="s">
        <v>786</v>
      </c>
      <c r="G169" s="520"/>
      <c r="H169" s="520"/>
      <c r="I169" s="521">
        <v>200000</v>
      </c>
      <c r="J169" s="555"/>
      <c r="K169" s="491"/>
      <c r="L169" s="491"/>
      <c r="M169" s="491"/>
      <c r="N169" s="491"/>
      <c r="P169" s="603"/>
      <c r="R169" s="491"/>
    </row>
    <row r="170" spans="1:18" s="601" customFormat="1" ht="15" customHeight="1">
      <c r="A170" s="533" t="s">
        <v>248</v>
      </c>
      <c r="B170" s="534"/>
      <c r="C170" s="696">
        <f>SUM(C171)</f>
        <v>0</v>
      </c>
      <c r="D170" s="696">
        <v>0</v>
      </c>
      <c r="E170" s="535">
        <f t="shared" si="8"/>
        <v>0</v>
      </c>
      <c r="F170" s="505"/>
      <c r="G170" s="530"/>
      <c r="H170" s="530"/>
      <c r="I170" s="531"/>
      <c r="J170" s="555"/>
      <c r="K170" s="491"/>
      <c r="L170" s="491"/>
      <c r="M170" s="491"/>
      <c r="N170" s="491"/>
      <c r="P170" s="603"/>
      <c r="R170" s="491"/>
    </row>
    <row r="171" spans="1:18" s="601" customFormat="1" ht="15" customHeight="1">
      <c r="A171" s="502" t="s">
        <v>249</v>
      </c>
      <c r="B171" s="503"/>
      <c r="C171" s="697">
        <f>SUM(C172)</f>
        <v>0</v>
      </c>
      <c r="D171" s="697">
        <v>0</v>
      </c>
      <c r="E171" s="504">
        <f t="shared" si="8"/>
        <v>0</v>
      </c>
      <c r="F171" s="505"/>
      <c r="G171" s="530"/>
      <c r="H171" s="530"/>
      <c r="I171" s="531"/>
      <c r="J171" s="555"/>
      <c r="K171" s="491"/>
      <c r="L171" s="491"/>
      <c r="M171" s="491"/>
      <c r="N171" s="491"/>
      <c r="P171" s="603"/>
      <c r="R171" s="491"/>
    </row>
    <row r="172" spans="1:18" s="601" customFormat="1" ht="15" customHeight="1">
      <c r="A172" s="502"/>
      <c r="B172" s="503" t="s">
        <v>250</v>
      </c>
      <c r="C172" s="697">
        <v>0</v>
      </c>
      <c r="D172" s="697">
        <v>0</v>
      </c>
      <c r="E172" s="504">
        <f t="shared" si="8"/>
        <v>0</v>
      </c>
      <c r="F172" s="505"/>
      <c r="G172" s="530"/>
      <c r="H172" s="530"/>
      <c r="I172" s="531"/>
      <c r="J172" s="555"/>
      <c r="K172" s="491"/>
      <c r="L172" s="491"/>
      <c r="M172" s="491"/>
      <c r="N172" s="491"/>
      <c r="P172" s="603"/>
      <c r="R172" s="491"/>
    </row>
    <row r="173" spans="1:19" s="601" customFormat="1" ht="15" customHeight="1">
      <c r="A173" s="533" t="s">
        <v>251</v>
      </c>
      <c r="B173" s="534"/>
      <c r="C173" s="696">
        <f>SUM(C174+C177)</f>
        <v>0</v>
      </c>
      <c r="D173" s="696">
        <v>0</v>
      </c>
      <c r="E173" s="535">
        <f t="shared" si="8"/>
        <v>0</v>
      </c>
      <c r="F173" s="505"/>
      <c r="G173" s="530"/>
      <c r="H173" s="530"/>
      <c r="I173" s="531"/>
      <c r="J173" s="555"/>
      <c r="K173" s="491"/>
      <c r="L173" s="491"/>
      <c r="M173" s="491"/>
      <c r="N173" s="491"/>
      <c r="P173" s="603"/>
      <c r="R173" s="491"/>
      <c r="S173" s="626"/>
    </row>
    <row r="174" spans="1:18" s="601" customFormat="1" ht="15" customHeight="1">
      <c r="A174" s="514" t="s">
        <v>252</v>
      </c>
      <c r="B174" s="515"/>
      <c r="C174" s="698">
        <f>SUM(C175:C176)</f>
        <v>0</v>
      </c>
      <c r="D174" s="698">
        <v>0</v>
      </c>
      <c r="E174" s="518">
        <f t="shared" si="8"/>
        <v>0</v>
      </c>
      <c r="F174" s="519"/>
      <c r="G174" s="520"/>
      <c r="H174" s="520"/>
      <c r="I174" s="521"/>
      <c r="J174" s="555"/>
      <c r="K174" s="491"/>
      <c r="L174" s="491"/>
      <c r="M174" s="491"/>
      <c r="N174" s="491"/>
      <c r="P174" s="603"/>
      <c r="R174" s="491"/>
    </row>
    <row r="175" spans="1:18" s="601" customFormat="1" ht="15" customHeight="1">
      <c r="A175" s="506"/>
      <c r="B175" s="503" t="s">
        <v>253</v>
      </c>
      <c r="C175" s="697">
        <v>0</v>
      </c>
      <c r="D175" s="697">
        <v>0</v>
      </c>
      <c r="E175" s="504">
        <f t="shared" si="8"/>
        <v>0</v>
      </c>
      <c r="F175" s="530"/>
      <c r="G175" s="530"/>
      <c r="H175" s="530"/>
      <c r="I175" s="531"/>
      <c r="J175" s="555"/>
      <c r="K175" s="491"/>
      <c r="L175" s="491"/>
      <c r="M175" s="491"/>
      <c r="N175" s="491"/>
      <c r="P175" s="603"/>
      <c r="R175" s="491"/>
    </row>
    <row r="176" spans="1:18" s="601" customFormat="1" ht="15" customHeight="1">
      <c r="A176" s="514"/>
      <c r="B176" s="503" t="s">
        <v>254</v>
      </c>
      <c r="C176" s="697">
        <v>0</v>
      </c>
      <c r="D176" s="697">
        <v>0</v>
      </c>
      <c r="E176" s="504">
        <f t="shared" si="8"/>
        <v>0</v>
      </c>
      <c r="F176" s="505"/>
      <c r="G176" s="530"/>
      <c r="H176" s="530"/>
      <c r="I176" s="531"/>
      <c r="J176" s="555"/>
      <c r="K176" s="491"/>
      <c r="L176" s="491"/>
      <c r="M176" s="491"/>
      <c r="N176" s="491"/>
      <c r="P176" s="603"/>
      <c r="R176" s="491"/>
    </row>
    <row r="177" spans="1:18" s="601" customFormat="1" ht="15" customHeight="1">
      <c r="A177" s="514" t="s">
        <v>255</v>
      </c>
      <c r="B177" s="515"/>
      <c r="C177" s="698">
        <f>SUM(C178:C180)</f>
        <v>0</v>
      </c>
      <c r="D177" s="698">
        <v>0</v>
      </c>
      <c r="E177" s="518">
        <f t="shared" si="8"/>
        <v>0</v>
      </c>
      <c r="F177" s="519"/>
      <c r="G177" s="520"/>
      <c r="H177" s="520"/>
      <c r="I177" s="521"/>
      <c r="J177" s="555"/>
      <c r="K177" s="491"/>
      <c r="L177" s="491"/>
      <c r="M177" s="491"/>
      <c r="N177" s="491"/>
      <c r="P177" s="603"/>
      <c r="R177" s="491"/>
    </row>
    <row r="178" spans="1:18" s="601" customFormat="1" ht="15" customHeight="1">
      <c r="A178" s="506"/>
      <c r="B178" s="507" t="s">
        <v>787</v>
      </c>
      <c r="C178" s="701">
        <v>0</v>
      </c>
      <c r="D178" s="701">
        <v>0</v>
      </c>
      <c r="E178" s="508">
        <f t="shared" si="8"/>
        <v>0</v>
      </c>
      <c r="F178" s="543"/>
      <c r="G178" s="523"/>
      <c r="H178" s="523"/>
      <c r="I178" s="524"/>
      <c r="J178" s="555"/>
      <c r="K178" s="491"/>
      <c r="L178" s="491"/>
      <c r="M178" s="491"/>
      <c r="N178" s="491"/>
      <c r="P178" s="603"/>
      <c r="R178" s="491"/>
    </row>
    <row r="179" spans="1:18" s="601" customFormat="1" ht="15" customHeight="1">
      <c r="A179" s="510"/>
      <c r="B179" s="503" t="s">
        <v>257</v>
      </c>
      <c r="C179" s="697">
        <v>0</v>
      </c>
      <c r="D179" s="697">
        <v>0</v>
      </c>
      <c r="E179" s="504">
        <f t="shared" si="8"/>
        <v>0</v>
      </c>
      <c r="F179" s="505"/>
      <c r="G179" s="530"/>
      <c r="H179" s="530"/>
      <c r="I179" s="531"/>
      <c r="J179" s="555"/>
      <c r="K179" s="491"/>
      <c r="L179" s="491"/>
      <c r="M179" s="491"/>
      <c r="N179" s="491"/>
      <c r="P179" s="603"/>
      <c r="R179" s="491"/>
    </row>
    <row r="180" spans="1:18" s="601" customFormat="1" ht="15" customHeight="1">
      <c r="A180" s="510"/>
      <c r="B180" s="507" t="s">
        <v>258</v>
      </c>
      <c r="C180" s="701">
        <v>0</v>
      </c>
      <c r="D180" s="701">
        <v>0</v>
      </c>
      <c r="E180" s="508">
        <f t="shared" si="8"/>
        <v>0</v>
      </c>
      <c r="F180" s="543" t="s">
        <v>20</v>
      </c>
      <c r="G180" s="523"/>
      <c r="H180" s="523"/>
      <c r="I180" s="524"/>
      <c r="J180" s="555"/>
      <c r="K180" s="491"/>
      <c r="L180" s="491"/>
      <c r="M180" s="491"/>
      <c r="N180" s="491"/>
      <c r="P180" s="603"/>
      <c r="R180" s="491"/>
    </row>
    <row r="181" spans="1:18" s="601" customFormat="1" ht="15" customHeight="1">
      <c r="A181" s="580" t="s">
        <v>259</v>
      </c>
      <c r="B181" s="581"/>
      <c r="C181" s="705">
        <f>'[8]수입'!C107-C5-C22-C117-C121-C128-C138-C141-C143-C151-C170-C173</f>
        <v>103587999999.54004</v>
      </c>
      <c r="D181" s="705">
        <f>'[8]수입'!D107-D5-D22-D117-D121-D128-D138-D141-D143-D151-D170-D173</f>
        <v>87867496560</v>
      </c>
      <c r="E181" s="582">
        <f t="shared" si="8"/>
        <v>15720503439.54004</v>
      </c>
      <c r="F181" s="583" t="s">
        <v>788</v>
      </c>
      <c r="G181" s="584"/>
      <c r="H181" s="584"/>
      <c r="I181" s="593">
        <f>C181</f>
        <v>103587999999.54004</v>
      </c>
      <c r="J181" s="555"/>
      <c r="K181" s="491"/>
      <c r="L181" s="491"/>
      <c r="M181" s="491"/>
      <c r="N181" s="491"/>
      <c r="P181" s="603"/>
      <c r="R181" s="491"/>
    </row>
    <row r="182" spans="1:19" s="601" customFormat="1" ht="15" customHeight="1">
      <c r="A182" s="548" t="s">
        <v>789</v>
      </c>
      <c r="B182" s="573"/>
      <c r="C182" s="706">
        <f>SUM(C5+C22+C117+C121+C128+C138+C141+C143+C151+C170+C173+C181)</f>
        <v>306035999999.54004</v>
      </c>
      <c r="D182" s="706">
        <f>SUM(D5+D22+D117+D121+D128+D138+D141+D143+D151+D170+D173+D181)</f>
        <v>368103000000</v>
      </c>
      <c r="E182" s="549">
        <f t="shared" si="8"/>
        <v>-62067000000.45996</v>
      </c>
      <c r="F182" s="540"/>
      <c r="G182" s="541"/>
      <c r="H182" s="541"/>
      <c r="I182" s="542"/>
      <c r="J182" s="555"/>
      <c r="K182" s="491"/>
      <c r="L182" s="491"/>
      <c r="M182" s="491"/>
      <c r="N182" s="491"/>
      <c r="P182" s="603"/>
      <c r="R182" s="491"/>
      <c r="S182" s="626"/>
    </row>
    <row r="183" spans="1:2" ht="13.5">
      <c r="A183" s="493"/>
      <c r="B183" s="493"/>
    </row>
    <row r="184" spans="1:2" ht="13.5">
      <c r="A184" s="493"/>
      <c r="B184" s="493"/>
    </row>
    <row r="185" spans="1:4" ht="13.5">
      <c r="A185" s="493"/>
      <c r="B185" s="493"/>
      <c r="C185" s="485"/>
      <c r="D185" s="485"/>
    </row>
  </sheetData>
  <sheetProtection/>
  <mergeCells count="5">
    <mergeCell ref="C3:C4"/>
    <mergeCell ref="D3:D4"/>
    <mergeCell ref="E3:E4"/>
    <mergeCell ref="F3:I4"/>
    <mergeCell ref="J3:J4"/>
  </mergeCells>
  <printOptions horizontalCentered="1"/>
  <pageMargins left="0.1968503937007874" right="0.15748031496062992" top="0.5905511811023623" bottom="0.5905511811023623" header="0.5118110236220472" footer="0.5118110236220472"/>
  <pageSetup fitToHeight="6" horizontalDpi="600" verticalDpi="600" orientation="landscape" paperSize="9" scale="89" r:id="rId3"/>
  <rowBreaks count="4" manualBreakCount="4">
    <brk id="33" max="8" man="1"/>
    <brk id="67" max="8" man="1"/>
    <brk id="103" max="8" man="1"/>
    <brk id="13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27"/>
  <sheetViews>
    <sheetView showGridLines="0" tabSelected="1" zoomScale="70" zoomScaleNormal="70" zoomScalePageLayoutView="0" workbookViewId="0" topLeftCell="A1">
      <selection activeCell="I7" sqref="I7"/>
    </sheetView>
  </sheetViews>
  <sheetFormatPr defaultColWidth="8.88671875" defaultRowHeight="13.5"/>
  <cols>
    <col min="1" max="1" width="4.3359375" style="92" customWidth="1"/>
    <col min="2" max="2" width="15.10546875" style="92" customWidth="1"/>
    <col min="3" max="4" width="14.3359375" style="92" customWidth="1"/>
    <col min="5" max="5" width="16.10546875" style="92" bestFit="1" customWidth="1"/>
    <col min="6" max="6" width="5.99609375" style="838" customWidth="1"/>
    <col min="7" max="7" width="31.3359375" style="92" customWidth="1"/>
    <col min="8" max="8" width="4.5546875" style="92" customWidth="1"/>
    <col min="9" max="9" width="16.77734375" style="92" customWidth="1"/>
    <col min="10" max="11" width="14.3359375" style="92" customWidth="1"/>
    <col min="12" max="12" width="11.6640625" style="92" customWidth="1"/>
    <col min="13" max="13" width="5.99609375" style="838" customWidth="1"/>
    <col min="14" max="14" width="35.6640625" style="92" customWidth="1"/>
    <col min="15" max="15" width="16.10546875" style="92" bestFit="1" customWidth="1"/>
    <col min="16" max="16" width="18.10546875" style="92" bestFit="1" customWidth="1"/>
    <col min="17" max="16384" width="8.88671875" style="92" customWidth="1"/>
  </cols>
  <sheetData>
    <row r="1" ht="55.5" customHeight="1"/>
    <row r="2" spans="1:14" ht="39" customHeight="1">
      <c r="A2" s="976" t="s">
        <v>1058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</row>
    <row r="3" spans="1:14" ht="18" customHeight="1">
      <c r="A3" s="92" t="s">
        <v>1134</v>
      </c>
      <c r="E3" s="126"/>
      <c r="N3" s="98" t="s">
        <v>1059</v>
      </c>
    </row>
    <row r="4" spans="1:14" ht="22.5" customHeight="1">
      <c r="A4" s="977" t="s">
        <v>1060</v>
      </c>
      <c r="B4" s="978"/>
      <c r="C4" s="981" t="s">
        <v>1030</v>
      </c>
      <c r="D4" s="981" t="s">
        <v>1061</v>
      </c>
      <c r="E4" s="978" t="s">
        <v>274</v>
      </c>
      <c r="F4" s="978" t="s">
        <v>275</v>
      </c>
      <c r="G4" s="983" t="s">
        <v>276</v>
      </c>
      <c r="H4" s="985" t="s">
        <v>1060</v>
      </c>
      <c r="I4" s="978"/>
      <c r="J4" s="981" t="str">
        <f>+C4</f>
        <v>2020년 추경예산</v>
      </c>
      <c r="K4" s="981" t="str">
        <f>+D4</f>
        <v>2020년 본예산</v>
      </c>
      <c r="L4" s="978" t="s">
        <v>274</v>
      </c>
      <c r="M4" s="978" t="s">
        <v>275</v>
      </c>
      <c r="N4" s="983" t="s">
        <v>1062</v>
      </c>
    </row>
    <row r="5" spans="1:14" ht="22.5" customHeight="1">
      <c r="A5" s="979"/>
      <c r="B5" s="980"/>
      <c r="C5" s="982"/>
      <c r="D5" s="982"/>
      <c r="E5" s="980"/>
      <c r="F5" s="980"/>
      <c r="G5" s="984"/>
      <c r="H5" s="986"/>
      <c r="I5" s="980"/>
      <c r="J5" s="982"/>
      <c r="K5" s="982"/>
      <c r="L5" s="980"/>
      <c r="M5" s="980"/>
      <c r="N5" s="984"/>
    </row>
    <row r="6" spans="1:18" ht="65.25" customHeight="1">
      <c r="A6" s="967" t="s">
        <v>1063</v>
      </c>
      <c r="B6" s="99" t="s">
        <v>1064</v>
      </c>
      <c r="C6" s="113">
        <f>+'총괄표(대전)'!C6+'총괄표(의정부)'!C6</f>
        <v>208151503439.54</v>
      </c>
      <c r="D6" s="113">
        <f>+'총괄표(대전)'!D6+'총괄표(의정부)'!D6</f>
        <v>208151503440</v>
      </c>
      <c r="E6" s="114">
        <f>C6-D6</f>
        <v>-0.459991455078125</v>
      </c>
      <c r="F6" s="839">
        <f>C6/$C$16</f>
        <v>0.4454865607979471</v>
      </c>
      <c r="G6" s="104" t="s">
        <v>1147</v>
      </c>
      <c r="H6" s="969" t="s">
        <v>277</v>
      </c>
      <c r="I6" s="99" t="s">
        <v>278</v>
      </c>
      <c r="J6" s="113">
        <f>+'총괄표(대전)'!J6+'총괄표(의정부)'!J6</f>
        <v>87852200000.25</v>
      </c>
      <c r="K6" s="113">
        <f>+'총괄표(대전)'!K6+'총괄표(의정부)'!K6</f>
        <v>91096000000</v>
      </c>
      <c r="L6" s="113">
        <f>J6-K6</f>
        <v>-3243799999.75</v>
      </c>
      <c r="M6" s="839">
        <f aca="true" t="shared" si="0" ref="M6:M12">J6/$J$16</f>
        <v>0.18802157942622094</v>
      </c>
      <c r="N6" s="101" t="s">
        <v>1142</v>
      </c>
      <c r="O6" s="117"/>
      <c r="P6" s="92">
        <f>500000+3737000+9436000+1040000+2161000+426000+66161000+7915000</f>
        <v>91376000</v>
      </c>
      <c r="Q6" s="92">
        <v>91376000</v>
      </c>
      <c r="R6" s="92">
        <f>+Q6-P6</f>
        <v>0</v>
      </c>
    </row>
    <row r="7" spans="1:21" ht="152.25" customHeight="1">
      <c r="A7" s="967"/>
      <c r="B7" s="99" t="s">
        <v>1065</v>
      </c>
      <c r="C7" s="113">
        <f>+'총괄표(대전)'!C7+'총괄표(의정부)'!C7</f>
        <v>3145000000</v>
      </c>
      <c r="D7" s="113">
        <f>+'총괄표(대전)'!D7+'총괄표(의정부)'!D7</f>
        <v>2045000000</v>
      </c>
      <c r="E7" s="114">
        <f aca="true" t="shared" si="1" ref="E7:E15">C7-D7</f>
        <v>1100000000</v>
      </c>
      <c r="F7" s="839">
        <f>C7/$C$16</f>
        <v>0.006730939774914939</v>
      </c>
      <c r="G7" s="104" t="s">
        <v>1146</v>
      </c>
      <c r="H7" s="970"/>
      <c r="I7" s="99" t="s">
        <v>1066</v>
      </c>
      <c r="J7" s="113">
        <f>+'총괄표(대전)'!J7+'총괄표(의정부)'!J7</f>
        <v>97584310000</v>
      </c>
      <c r="K7" s="113">
        <f>+'총괄표(대전)'!K7+'총괄표(의정부)'!K7</f>
        <v>91376000000</v>
      </c>
      <c r="L7" s="113">
        <f aca="true" t="shared" si="2" ref="L7:L15">J7-K7</f>
        <v>6208310000</v>
      </c>
      <c r="M7" s="839">
        <f t="shared" si="0"/>
        <v>0.20885027459034328</v>
      </c>
      <c r="N7" s="102" t="s">
        <v>1141</v>
      </c>
      <c r="O7" s="116">
        <f>32000000/204255024</f>
        <v>0.15666689305032713</v>
      </c>
      <c r="P7" s="116">
        <f>18401000/204255024</f>
        <v>0.09008835934434592</v>
      </c>
      <c r="Q7" s="116">
        <f>10000000/204255024</f>
        <v>0.04895840407822723</v>
      </c>
      <c r="S7" s="92">
        <f>32000000+18401000+10000000+1610000+2075000+2075000</f>
        <v>66161000</v>
      </c>
      <c r="T7" s="92">
        <v>66161000</v>
      </c>
      <c r="U7" s="92">
        <f>+T7-S7</f>
        <v>0</v>
      </c>
    </row>
    <row r="8" spans="1:16" ht="57" customHeight="1">
      <c r="A8" s="967"/>
      <c r="B8" s="99" t="s">
        <v>1022</v>
      </c>
      <c r="C8" s="113">
        <f>+'총괄표(대전)'!C8+'총괄표(의정부)'!C8</f>
        <v>6598736412</v>
      </c>
      <c r="D8" s="113">
        <f>+'총괄표(대전)'!D8+'총괄표(의정부)'!D8</f>
        <v>7972000000</v>
      </c>
      <c r="E8" s="114">
        <f>C8-D8</f>
        <v>-1373263588</v>
      </c>
      <c r="F8" s="839">
        <f>C8/$C$16</f>
        <v>0.014122638276537453</v>
      </c>
      <c r="G8" s="104" t="s">
        <v>1145</v>
      </c>
      <c r="H8" s="970"/>
      <c r="I8" s="99" t="s">
        <v>280</v>
      </c>
      <c r="J8" s="113">
        <f>+'총괄표(대전)'!J8+'총괄표(의정부)'!J8</f>
        <v>6219000000</v>
      </c>
      <c r="K8" s="113">
        <f>+'총괄표(대전)'!K8+'총괄표(의정부)'!K8</f>
        <v>7765000000</v>
      </c>
      <c r="L8" s="113">
        <f t="shared" si="2"/>
        <v>-1546000000</v>
      </c>
      <c r="M8" s="839">
        <f t="shared" si="0"/>
        <v>0.013309925106580606</v>
      </c>
      <c r="N8" s="103"/>
      <c r="P8" s="127">
        <f>2864000+1700000</f>
        <v>4564000</v>
      </c>
    </row>
    <row r="9" spans="1:16" ht="34.5" customHeight="1">
      <c r="A9" s="967"/>
      <c r="B9" s="972" t="s">
        <v>281</v>
      </c>
      <c r="C9" s="963">
        <f>+'총괄표(대전)'!C9:C10+'총괄표(의정부)'!C9:C10</f>
        <v>152000000</v>
      </c>
      <c r="D9" s="963">
        <f>+'총괄표(대전)'!D9:D10+'총괄표(의정부)'!D9:D10</f>
        <v>0</v>
      </c>
      <c r="E9" s="974">
        <f t="shared" si="1"/>
        <v>152000000</v>
      </c>
      <c r="F9" s="965">
        <f>C9/$C$16</f>
        <v>0.000325310920759005</v>
      </c>
      <c r="G9" s="959" t="s">
        <v>1067</v>
      </c>
      <c r="H9" s="970"/>
      <c r="I9" s="99" t="s">
        <v>282</v>
      </c>
      <c r="J9" s="113">
        <f>+'총괄표(대전)'!J9+'총괄표(의정부)'!J9</f>
        <v>12210000000</v>
      </c>
      <c r="K9" s="113">
        <f>+'총괄표(대전)'!K9+'총괄표(의정부)'!K9</f>
        <v>12210000000</v>
      </c>
      <c r="L9" s="118">
        <f t="shared" si="2"/>
        <v>0</v>
      </c>
      <c r="M9" s="839">
        <f t="shared" si="0"/>
        <v>0.026131883832022702</v>
      </c>
      <c r="N9" s="104" t="s">
        <v>1140</v>
      </c>
      <c r="O9" s="92">
        <f>6300000+19750412+1034287+1000000+1301800+228000+1315310</f>
        <v>30929809</v>
      </c>
      <c r="P9" s="116"/>
    </row>
    <row r="10" spans="1:14" ht="34.5" customHeight="1">
      <c r="A10" s="967"/>
      <c r="B10" s="973"/>
      <c r="C10" s="964"/>
      <c r="D10" s="964"/>
      <c r="E10" s="975"/>
      <c r="F10" s="966"/>
      <c r="G10" s="960"/>
      <c r="H10" s="970"/>
      <c r="I10" s="99" t="s">
        <v>283</v>
      </c>
      <c r="J10" s="113">
        <f>+'총괄표(대전)'!J10+'총괄표(의정부)'!J10</f>
        <v>7000000000</v>
      </c>
      <c r="K10" s="113">
        <v>5000000000</v>
      </c>
      <c r="L10" s="113">
        <f t="shared" si="2"/>
        <v>2000000000</v>
      </c>
      <c r="M10" s="839">
        <f t="shared" si="0"/>
        <v>0.014981423982322597</v>
      </c>
      <c r="N10" s="104" t="s">
        <v>1139</v>
      </c>
    </row>
    <row r="11" spans="1:15" ht="34.5" customHeight="1">
      <c r="A11" s="967"/>
      <c r="B11" s="99" t="s">
        <v>284</v>
      </c>
      <c r="C11" s="113">
        <f>+'총괄표(대전)'!C11+'총괄표(의정부)'!C11</f>
        <v>0</v>
      </c>
      <c r="D11" s="113">
        <f>+'총괄표(대전)'!D11+'총괄표(의정부)'!D11</f>
        <v>0</v>
      </c>
      <c r="E11" s="114">
        <f t="shared" si="1"/>
        <v>0</v>
      </c>
      <c r="F11" s="839">
        <f>C11/$C$16</f>
        <v>0</v>
      </c>
      <c r="G11" s="104"/>
      <c r="H11" s="970"/>
      <c r="I11" s="99" t="s">
        <v>1023</v>
      </c>
      <c r="J11" s="113">
        <f>+'총괄표(대전)'!J11+'총괄표(의정부)'!J11</f>
        <v>874000000</v>
      </c>
      <c r="K11" s="113">
        <f>+'총괄표(대전)'!K11+'총괄표(의정부)'!K11</f>
        <v>0</v>
      </c>
      <c r="L11" s="113">
        <f t="shared" si="2"/>
        <v>874000000</v>
      </c>
      <c r="M11" s="839">
        <f t="shared" si="0"/>
        <v>0.0018705377943642786</v>
      </c>
      <c r="N11" s="104" t="s">
        <v>1138</v>
      </c>
      <c r="O11" s="94"/>
    </row>
    <row r="12" spans="1:16" ht="86.25" customHeight="1">
      <c r="A12" s="967"/>
      <c r="B12" s="99" t="s">
        <v>1032</v>
      </c>
      <c r="C12" s="113">
        <f>+'총괄표(대전)'!C12+'총괄표(의정부)'!C12</f>
        <v>0</v>
      </c>
      <c r="D12" s="113">
        <f>+'총괄표(대전)'!D12+'총괄표(의정부)'!D12</f>
        <v>0</v>
      </c>
      <c r="E12" s="114">
        <f t="shared" si="1"/>
        <v>0</v>
      </c>
      <c r="F12" s="839">
        <f>C12/$C$16</f>
        <v>0</v>
      </c>
      <c r="G12" s="105"/>
      <c r="H12" s="970"/>
      <c r="I12" s="961" t="s">
        <v>1025</v>
      </c>
      <c r="J12" s="963">
        <f>16508000000+170000000000</f>
        <v>186508000000</v>
      </c>
      <c r="K12" s="963">
        <f>14001000000+280000000000</f>
        <v>294001000000</v>
      </c>
      <c r="L12" s="963">
        <f t="shared" si="2"/>
        <v>-107493000000</v>
      </c>
      <c r="M12" s="965">
        <f t="shared" si="0"/>
        <v>0.3991650605850033</v>
      </c>
      <c r="N12" s="957" t="s">
        <v>1135</v>
      </c>
      <c r="O12" s="92">
        <f>3580500+1476500+31000+5000000+400000+1500000+110191153+1500000+40000+200000+908318+1000</f>
        <v>124828471</v>
      </c>
      <c r="P12" s="526">
        <f>+O12-124828471</f>
        <v>0</v>
      </c>
    </row>
    <row r="13" spans="1:16" ht="55.5" customHeight="1">
      <c r="A13" s="967"/>
      <c r="B13" s="99" t="s">
        <v>446</v>
      </c>
      <c r="C13" s="113">
        <f>+'총괄표(대전)'!C13+'총괄표(의정부)'!C13</f>
        <v>110890000000</v>
      </c>
      <c r="D13" s="113">
        <f>+'총괄표(대전)'!D13+'총괄표(의정부)'!D13</f>
        <v>170000000000</v>
      </c>
      <c r="E13" s="114">
        <f t="shared" si="1"/>
        <v>-59110000000</v>
      </c>
      <c r="F13" s="839">
        <f>C13/$C$16</f>
        <v>0.2373271579142504</v>
      </c>
      <c r="G13" s="104" t="s">
        <v>1144</v>
      </c>
      <c r="H13" s="970"/>
      <c r="I13" s="962"/>
      <c r="J13" s="964"/>
      <c r="K13" s="964"/>
      <c r="L13" s="964">
        <f t="shared" si="2"/>
        <v>0</v>
      </c>
      <c r="M13" s="966"/>
      <c r="N13" s="958"/>
      <c r="P13" s="526"/>
    </row>
    <row r="14" spans="1:16" ht="34.5" customHeight="1">
      <c r="A14" s="967"/>
      <c r="B14" s="99" t="s">
        <v>1068</v>
      </c>
      <c r="C14" s="113">
        <f>+'총괄표(대전)'!C14+'총괄표(의정부)'!C15</f>
        <v>15000000000</v>
      </c>
      <c r="D14" s="113">
        <f>+'총괄표(대전)'!D14+'총괄표(의정부)'!D15</f>
        <v>30000000000</v>
      </c>
      <c r="E14" s="114">
        <f t="shared" si="1"/>
        <v>-15000000000</v>
      </c>
      <c r="F14" s="839">
        <f>C14/$C$16</f>
        <v>0.03210305139069128</v>
      </c>
      <c r="G14" s="105"/>
      <c r="H14" s="970"/>
      <c r="I14" s="834" t="s">
        <v>1069</v>
      </c>
      <c r="J14" s="832">
        <f>+'총괄표(대전)'!J14+'총괄표(의정부)'!J15</f>
        <v>430000000</v>
      </c>
      <c r="K14" s="832">
        <f>+'총괄표(대전)'!K14+'총괄표(의정부)'!K15</f>
        <v>0</v>
      </c>
      <c r="L14" s="832">
        <f t="shared" si="2"/>
        <v>430000000</v>
      </c>
      <c r="M14" s="839">
        <f>J14/$J$16</f>
        <v>0.0009202874731998167</v>
      </c>
      <c r="N14" s="833" t="s">
        <v>1136</v>
      </c>
      <c r="P14" s="526"/>
    </row>
    <row r="15" spans="1:16" ht="34.5" customHeight="1">
      <c r="A15" s="967"/>
      <c r="B15" s="99" t="s">
        <v>1027</v>
      </c>
      <c r="C15" s="113">
        <f>+'총괄표(대전)'!C15+'총괄표(의정부)'!C16</f>
        <v>123308063950</v>
      </c>
      <c r="D15" s="113">
        <f>+'총괄표(대전)'!D15+'총괄표(의정부)'!D16</f>
        <v>91160496560</v>
      </c>
      <c r="E15" s="114">
        <f t="shared" si="1"/>
        <v>32147567390</v>
      </c>
      <c r="F15" s="839">
        <f>C15/$C$16</f>
        <v>0.2639043409248998</v>
      </c>
      <c r="G15" s="104" t="s">
        <v>1143</v>
      </c>
      <c r="H15" s="970"/>
      <c r="I15" s="99" t="s">
        <v>1070</v>
      </c>
      <c r="J15" s="113">
        <f>C16-J6-J7-J8-J9-J10-J11-J12-J14</f>
        <v>68567793801.29004</v>
      </c>
      <c r="K15" s="113">
        <f>D16-K6-K7-K8-K9-K10-K11-K12-K14</f>
        <v>7881000000</v>
      </c>
      <c r="L15" s="113">
        <f t="shared" si="2"/>
        <v>60686793801.29004</v>
      </c>
      <c r="M15" s="839">
        <f>J15/$J$16</f>
        <v>0.14674902720994248</v>
      </c>
      <c r="N15" s="105" t="s">
        <v>1137</v>
      </c>
      <c r="O15" s="139"/>
      <c r="P15" s="526">
        <v>400000</v>
      </c>
    </row>
    <row r="16" spans="1:16" ht="29.25" customHeight="1">
      <c r="A16" s="968"/>
      <c r="B16" s="100" t="s">
        <v>1071</v>
      </c>
      <c r="C16" s="115">
        <f>SUM(C6:C15)</f>
        <v>467245303801.54004</v>
      </c>
      <c r="D16" s="115">
        <f>SUM(D6:D15)</f>
        <v>509329000000</v>
      </c>
      <c r="E16" s="115">
        <f>SUM(E6:E15)</f>
        <v>-42083696198.45999</v>
      </c>
      <c r="F16" s="840">
        <v>1</v>
      </c>
      <c r="G16" s="93"/>
      <c r="H16" s="971"/>
      <c r="I16" s="100" t="s">
        <v>1071</v>
      </c>
      <c r="J16" s="115">
        <f>SUM(J6:J15)</f>
        <v>467245303801.54004</v>
      </c>
      <c r="K16" s="115">
        <f>SUM(K6:K15)</f>
        <v>509329000000</v>
      </c>
      <c r="L16" s="115">
        <f>J16-K16</f>
        <v>-42083696198.45996</v>
      </c>
      <c r="M16" s="840">
        <f>SUM(M6:M15)</f>
        <v>1</v>
      </c>
      <c r="N16" s="93"/>
      <c r="P16" s="526">
        <v>400000</v>
      </c>
    </row>
    <row r="17" spans="5:16" ht="13.5">
      <c r="E17" s="94"/>
      <c r="P17" s="526">
        <v>250000</v>
      </c>
    </row>
    <row r="18" spans="6:18" ht="13.5">
      <c r="F18" s="841"/>
      <c r="J18" s="94"/>
      <c r="K18" s="94"/>
      <c r="O18" s="824"/>
      <c r="P18" s="526">
        <v>200000</v>
      </c>
      <c r="Q18" s="824"/>
      <c r="R18" s="526">
        <v>500000</v>
      </c>
    </row>
    <row r="19" spans="12:18" ht="13.5">
      <c r="L19" s="139"/>
      <c r="O19" s="824"/>
      <c r="P19" s="526">
        <v>200000</v>
      </c>
      <c r="Q19" s="824"/>
      <c r="R19" s="526">
        <v>400000</v>
      </c>
    </row>
    <row r="20" spans="15:18" ht="13.5">
      <c r="O20" s="824"/>
      <c r="P20" s="526">
        <v>250000</v>
      </c>
      <c r="Q20" s="824"/>
      <c r="R20" s="526">
        <v>400000</v>
      </c>
    </row>
    <row r="21" spans="15:18" ht="13.5">
      <c r="O21" s="824"/>
      <c r="P21" s="526">
        <v>300000</v>
      </c>
      <c r="Q21" s="824"/>
      <c r="R21" s="526">
        <v>250000</v>
      </c>
    </row>
    <row r="22" spans="15:18" ht="13.5">
      <c r="O22" s="824"/>
      <c r="P22" s="526">
        <v>6800000</v>
      </c>
      <c r="Q22" s="824"/>
      <c r="R22" s="526">
        <v>200000</v>
      </c>
    </row>
    <row r="23" spans="15:18" ht="13.5">
      <c r="O23" s="824"/>
      <c r="P23" s="526">
        <v>8100000</v>
      </c>
      <c r="Q23" s="824"/>
      <c r="R23" s="526">
        <v>200000</v>
      </c>
    </row>
    <row r="24" spans="15:18" ht="13.5">
      <c r="O24" s="824"/>
      <c r="P24" s="124">
        <v>982363161</v>
      </c>
      <c r="Q24" s="824"/>
      <c r="R24" s="526">
        <v>250000</v>
      </c>
    </row>
    <row r="25" spans="15:18" ht="13.5">
      <c r="O25" s="570"/>
      <c r="P25" s="124">
        <f>963550200+639</f>
        <v>963550839</v>
      </c>
      <c r="Q25" s="824"/>
      <c r="R25" s="526">
        <v>300000</v>
      </c>
    </row>
    <row r="26" spans="15:18" ht="13.5">
      <c r="O26" s="824"/>
      <c r="P26" s="824"/>
      <c r="Q26" s="824"/>
      <c r="R26" s="526">
        <v>6800000</v>
      </c>
    </row>
    <row r="27" spans="15:18" ht="13.5">
      <c r="O27" s="824"/>
      <c r="P27" s="824"/>
      <c r="Q27" s="824"/>
      <c r="R27" s="526">
        <v>8100000</v>
      </c>
    </row>
  </sheetData>
  <sheetProtection/>
  <mergeCells count="27">
    <mergeCell ref="A2:N2"/>
    <mergeCell ref="A4:B5"/>
    <mergeCell ref="C4:C5"/>
    <mergeCell ref="D4:D5"/>
    <mergeCell ref="E4:E5"/>
    <mergeCell ref="F4:F5"/>
    <mergeCell ref="G4:G5"/>
    <mergeCell ref="H4:I5"/>
    <mergeCell ref="J4:J5"/>
    <mergeCell ref="K4:K5"/>
    <mergeCell ref="L4:L5"/>
    <mergeCell ref="M4:M5"/>
    <mergeCell ref="N4:N5"/>
    <mergeCell ref="A6:A16"/>
    <mergeCell ref="H6:H16"/>
    <mergeCell ref="B9:B10"/>
    <mergeCell ref="C9:C10"/>
    <mergeCell ref="D9:D10"/>
    <mergeCell ref="E9:E10"/>
    <mergeCell ref="F9:F10"/>
    <mergeCell ref="N12:N13"/>
    <mergeCell ref="G9:G10"/>
    <mergeCell ref="I12:I13"/>
    <mergeCell ref="J12:J13"/>
    <mergeCell ref="K12:K13"/>
    <mergeCell ref="L12:L13"/>
    <mergeCell ref="M12:M13"/>
  </mergeCells>
  <printOptions horizontalCentered="1"/>
  <pageMargins left="0.35433070866141736" right="0.15748031496062992" top="0.5905511811023623" bottom="0.1968503937007874" header="0.5118110236220472" footer="0.5118110236220472"/>
  <pageSetup fitToHeight="0" fitToWidth="1" horizontalDpi="600" verticalDpi="600" orientation="landscape" paperSize="8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showGridLines="0" view="pageBreakPreview" zoomScale="85" zoomScaleNormal="85" zoomScaleSheetLayoutView="85" zoomScalePageLayoutView="0" workbookViewId="0" topLeftCell="A1">
      <selection activeCell="D15" sqref="D15"/>
    </sheetView>
  </sheetViews>
  <sheetFormatPr defaultColWidth="8.88671875" defaultRowHeight="13.5"/>
  <cols>
    <col min="1" max="1" width="17.99609375" style="608" customWidth="1"/>
    <col min="2" max="2" width="17.6640625" style="608" customWidth="1"/>
    <col min="3" max="3" width="18.88671875" style="695" customWidth="1"/>
    <col min="4" max="5" width="18.3359375" style="695" bestFit="1" customWidth="1"/>
    <col min="6" max="6" width="13.10546875" style="608" customWidth="1"/>
    <col min="7" max="7" width="10.88671875" style="608" customWidth="1"/>
    <col min="8" max="8" width="7.77734375" style="608" customWidth="1"/>
    <col min="9" max="9" width="14.99609375" style="608" bestFit="1" customWidth="1"/>
    <col min="10" max="10" width="14.21484375" style="608" hidden="1" customWidth="1"/>
    <col min="11" max="11" width="12.77734375" style="608" hidden="1" customWidth="1"/>
    <col min="12" max="12" width="12.99609375" style="609" hidden="1" customWidth="1"/>
    <col min="13" max="14" width="17.99609375" style="609" hidden="1" customWidth="1"/>
    <col min="15" max="15" width="7.77734375" style="609" hidden="1" customWidth="1"/>
    <col min="16" max="16" width="16.5546875" style="609" hidden="1" customWidth="1"/>
    <col min="17" max="17" width="15.3359375" style="608" hidden="1" customWidth="1"/>
    <col min="18" max="18" width="15.6640625" style="611" hidden="1" customWidth="1"/>
    <col min="19" max="19" width="18.5546875" style="608" hidden="1" customWidth="1"/>
    <col min="20" max="20" width="10.21484375" style="609" hidden="1" customWidth="1"/>
    <col min="21" max="21" width="18.88671875" style="608" customWidth="1"/>
    <col min="22" max="22" width="17.6640625" style="608" bestFit="1" customWidth="1"/>
    <col min="23" max="23" width="11.77734375" style="608" hidden="1" customWidth="1"/>
    <col min="24" max="29" width="0" style="608" hidden="1" customWidth="1"/>
    <col min="30" max="31" width="8.88671875" style="608" customWidth="1"/>
    <col min="32" max="32" width="15.21484375" style="608" bestFit="1" customWidth="1"/>
    <col min="33" max="35" width="8.88671875" style="608" customWidth="1"/>
    <col min="36" max="36" width="16.3359375" style="695" bestFit="1" customWidth="1"/>
    <col min="37" max="16384" width="8.88671875" style="608" customWidth="1"/>
  </cols>
  <sheetData>
    <row r="1" spans="1:18" ht="29.25" customHeight="1">
      <c r="A1" s="1010" t="s">
        <v>817</v>
      </c>
      <c r="B1" s="1010"/>
      <c r="C1" s="1010"/>
      <c r="D1" s="1010"/>
      <c r="E1" s="1010"/>
      <c r="F1" s="1010"/>
      <c r="G1" s="1010"/>
      <c r="H1" s="1010"/>
      <c r="I1" s="1010"/>
      <c r="J1" s="604"/>
      <c r="K1" s="605"/>
      <c r="L1" s="606"/>
      <c r="M1" s="606"/>
      <c r="N1" s="606"/>
      <c r="O1" s="606"/>
      <c r="P1" s="606"/>
      <c r="Q1" s="605"/>
      <c r="R1" s="607"/>
    </row>
    <row r="2" spans="1:10" ht="16.5" customHeight="1">
      <c r="A2" s="1011" t="s">
        <v>585</v>
      </c>
      <c r="B2" s="1011"/>
      <c r="C2" s="1011"/>
      <c r="D2" s="1011"/>
      <c r="E2" s="1011"/>
      <c r="F2" s="1011"/>
      <c r="G2" s="1011"/>
      <c r="H2" s="1011"/>
      <c r="I2" s="1011"/>
      <c r="J2" s="610"/>
    </row>
    <row r="3" spans="1:5" ht="19.5" customHeight="1">
      <c r="A3" s="492" t="s">
        <v>1208</v>
      </c>
      <c r="B3" s="492"/>
      <c r="C3" s="614"/>
      <c r="D3" s="614"/>
      <c r="E3" s="614"/>
    </row>
    <row r="4" spans="1:16" ht="19.5" customHeight="1">
      <c r="A4" s="613" t="s">
        <v>0</v>
      </c>
      <c r="B4" s="613"/>
      <c r="C4" s="614"/>
      <c r="D4" s="614"/>
      <c r="E4" s="614"/>
      <c r="I4" s="617" t="s">
        <v>1178</v>
      </c>
      <c r="J4" s="617"/>
      <c r="P4" s="618"/>
    </row>
    <row r="5" spans="1:36" s="601" customFormat="1" ht="15.75" customHeight="1">
      <c r="A5" s="494" t="s">
        <v>121</v>
      </c>
      <c r="B5" s="495" t="s">
        <v>122</v>
      </c>
      <c r="C5" s="1012" t="s">
        <v>260</v>
      </c>
      <c r="D5" s="1012" t="s">
        <v>261</v>
      </c>
      <c r="E5" s="1012" t="s">
        <v>123</v>
      </c>
      <c r="F5" s="1014" t="s">
        <v>1</v>
      </c>
      <c r="G5" s="1014"/>
      <c r="H5" s="1014"/>
      <c r="I5" s="1015"/>
      <c r="J5" s="619"/>
      <c r="L5" s="620"/>
      <c r="M5" s="620"/>
      <c r="N5" s="620"/>
      <c r="O5" s="620"/>
      <c r="P5" s="620"/>
      <c r="R5" s="603"/>
      <c r="T5" s="620"/>
      <c r="AJ5" s="555"/>
    </row>
    <row r="6" spans="1:36" s="601" customFormat="1" ht="15.75" customHeight="1">
      <c r="A6" s="496" t="s">
        <v>2</v>
      </c>
      <c r="B6" s="497" t="s">
        <v>3</v>
      </c>
      <c r="C6" s="1013"/>
      <c r="D6" s="1013"/>
      <c r="E6" s="1013"/>
      <c r="F6" s="1016"/>
      <c r="G6" s="1016"/>
      <c r="H6" s="1016"/>
      <c r="I6" s="1017"/>
      <c r="J6" s="619"/>
      <c r="L6" s="620"/>
      <c r="M6" s="620"/>
      <c r="N6" s="620"/>
      <c r="O6" s="620"/>
      <c r="P6" s="620"/>
      <c r="R6" s="603"/>
      <c r="T6" s="620"/>
      <c r="AJ6" s="555"/>
    </row>
    <row r="7" spans="1:36" s="601" customFormat="1" ht="15.75" customHeight="1" thickBot="1">
      <c r="A7" s="498" t="s">
        <v>4</v>
      </c>
      <c r="B7" s="499"/>
      <c r="C7" s="851">
        <f>SUM(C8+C27+C46)</f>
        <v>208151503439.54</v>
      </c>
      <c r="D7" s="851">
        <f>SUM(D8+D27+D46)</f>
        <v>208151503440</v>
      </c>
      <c r="E7" s="851">
        <f>C7-D7</f>
        <v>-0.459991455078125</v>
      </c>
      <c r="F7" s="501"/>
      <c r="G7" s="623"/>
      <c r="H7" s="623"/>
      <c r="I7" s="624"/>
      <c r="J7" s="625"/>
      <c r="L7" s="620"/>
      <c r="M7" s="620"/>
      <c r="N7" s="620"/>
      <c r="O7" s="620"/>
      <c r="P7" s="620"/>
      <c r="Q7" s="620"/>
      <c r="R7" s="603"/>
      <c r="T7" s="620"/>
      <c r="U7" s="626"/>
      <c r="AE7" s="601" t="s">
        <v>389</v>
      </c>
      <c r="AI7" s="601" t="s">
        <v>392</v>
      </c>
      <c r="AJ7" s="555"/>
    </row>
    <row r="8" spans="1:36" s="601" customFormat="1" ht="15.75" customHeight="1" thickTop="1">
      <c r="A8" s="502" t="s">
        <v>5</v>
      </c>
      <c r="B8" s="503"/>
      <c r="C8" s="852">
        <f>SUM(C9:C26)</f>
        <v>128333503439.54001</v>
      </c>
      <c r="D8" s="852">
        <f>SUM(D9:D26)</f>
        <v>128333503440</v>
      </c>
      <c r="E8" s="852">
        <f>C8-D8</f>
        <v>-0.459991455078125</v>
      </c>
      <c r="F8" s="505"/>
      <c r="G8" s="629"/>
      <c r="H8" s="629"/>
      <c r="I8" s="630"/>
      <c r="J8" s="625"/>
      <c r="L8" s="631"/>
      <c r="M8" s="632" t="s">
        <v>6</v>
      </c>
      <c r="N8" s="633"/>
      <c r="Q8" s="603" t="s">
        <v>7</v>
      </c>
      <c r="S8" s="620" t="s">
        <v>8</v>
      </c>
      <c r="AE8" s="257" t="s">
        <v>356</v>
      </c>
      <c r="AF8" s="258">
        <v>23371274187.42357</v>
      </c>
      <c r="AG8" s="125">
        <f>+AF8/$AF$38</f>
        <v>0.36550959909100383</v>
      </c>
      <c r="AI8" s="601" t="s">
        <v>390</v>
      </c>
      <c r="AJ8" s="555" t="s">
        <v>391</v>
      </c>
    </row>
    <row r="9" spans="1:37" s="601" customFormat="1" ht="15.75" customHeight="1">
      <c r="A9" s="506"/>
      <c r="B9" s="507" t="s">
        <v>9</v>
      </c>
      <c r="C9" s="853">
        <f>+I26+'2020년추경예산안수입 (의정부)'!C9</f>
        <v>128333503439.54001</v>
      </c>
      <c r="D9" s="853">
        <f>+'2020년추경예산안수입 (의정부)'!D9+128333503440</f>
        <v>128333503440</v>
      </c>
      <c r="E9" s="853">
        <f>C9-D9</f>
        <v>-0.459991455078125</v>
      </c>
      <c r="F9" s="636" t="s">
        <v>10</v>
      </c>
      <c r="G9" s="106">
        <f>I9/H9</f>
        <v>3908824625.5833335</v>
      </c>
      <c r="H9" s="509">
        <v>12</v>
      </c>
      <c r="I9" s="107">
        <v>46905895507</v>
      </c>
      <c r="J9" s="639">
        <v>27472107507.04499</v>
      </c>
      <c r="K9" s="640">
        <f>SUM(M9/M26)</f>
        <v>0.2690051039791396</v>
      </c>
      <c r="L9" s="641" t="s">
        <v>10</v>
      </c>
      <c r="M9" s="642">
        <v>20817143505</v>
      </c>
      <c r="N9" s="618"/>
      <c r="O9" s="620"/>
      <c r="P9" s="601" t="s">
        <v>11</v>
      </c>
      <c r="Q9" s="603"/>
      <c r="R9" s="601" t="s">
        <v>12</v>
      </c>
      <c r="S9" s="620">
        <v>316000</v>
      </c>
      <c r="U9" s="125">
        <v>0.3655</v>
      </c>
      <c r="V9" s="818">
        <f>$C$9*U9</f>
        <v>46905895507.15187</v>
      </c>
      <c r="AE9" s="259" t="s">
        <v>357</v>
      </c>
      <c r="AF9" s="260">
        <v>3656660475.2829843</v>
      </c>
      <c r="AG9" s="125">
        <f aca="true" t="shared" si="0" ref="AG9:AG37">+AF9/$AF$38</f>
        <v>0.057187489805404695</v>
      </c>
      <c r="AI9" s="601" t="s">
        <v>356</v>
      </c>
      <c r="AJ9" s="555">
        <v>31624339058</v>
      </c>
      <c r="AK9" s="125">
        <f>+AJ9/$AJ$39</f>
        <v>0.24955570913778707</v>
      </c>
    </row>
    <row r="10" spans="1:37" s="601" customFormat="1" ht="15.75" customHeight="1">
      <c r="A10" s="510"/>
      <c r="B10" s="511"/>
      <c r="C10" s="854"/>
      <c r="D10" s="854"/>
      <c r="E10" s="854"/>
      <c r="F10" s="647" t="s">
        <v>13</v>
      </c>
      <c r="G10" s="108">
        <f aca="true" t="shared" si="1" ref="G10:G25">I10/H10</f>
        <v>537931268.5833334</v>
      </c>
      <c r="H10" s="648">
        <v>12</v>
      </c>
      <c r="I10" s="662">
        <v>6455175223</v>
      </c>
      <c r="J10" s="639">
        <v>9809429424.731613</v>
      </c>
      <c r="K10" s="640">
        <f>SUM(M10/M26)</f>
        <v>0.09605329994064943</v>
      </c>
      <c r="L10" s="641" t="s">
        <v>13</v>
      </c>
      <c r="M10" s="642">
        <v>7433150150</v>
      </c>
      <c r="N10" s="618"/>
      <c r="O10" s="643">
        <v>0.10801297995933146</v>
      </c>
      <c r="P10" s="601" t="s">
        <v>14</v>
      </c>
      <c r="Q10" s="603"/>
      <c r="R10" s="601" t="s">
        <v>14</v>
      </c>
      <c r="S10" s="620">
        <v>427656747</v>
      </c>
      <c r="U10" s="125">
        <v>0.0503</v>
      </c>
      <c r="V10" s="818">
        <f aca="true" t="shared" si="2" ref="V10:V25">$C$9*U10</f>
        <v>6455175223.0088625</v>
      </c>
      <c r="AE10" s="259" t="s">
        <v>358</v>
      </c>
      <c r="AF10" s="260">
        <v>1817933285.7458098</v>
      </c>
      <c r="AG10" s="125">
        <f t="shared" si="0"/>
        <v>0.02843114419515495</v>
      </c>
      <c r="AI10" s="601" t="s">
        <v>357</v>
      </c>
      <c r="AJ10" s="555">
        <v>4109930320</v>
      </c>
      <c r="AK10" s="125">
        <f aca="true" t="shared" si="3" ref="AK10:AK38">+AJ10/$AJ$39</f>
        <v>0.032432506293124636</v>
      </c>
    </row>
    <row r="11" spans="1:37" s="601" customFormat="1" ht="15.75" customHeight="1">
      <c r="A11" s="510"/>
      <c r="B11" s="511"/>
      <c r="C11" s="854"/>
      <c r="D11" s="854"/>
      <c r="E11" s="854"/>
      <c r="F11" s="647" t="s">
        <v>15</v>
      </c>
      <c r="G11" s="108">
        <f t="shared" si="1"/>
        <v>372167160</v>
      </c>
      <c r="H11" s="648">
        <v>12</v>
      </c>
      <c r="I11" s="662">
        <v>4466005920</v>
      </c>
      <c r="J11" s="639">
        <v>13544962769.66887</v>
      </c>
      <c r="K11" s="640">
        <f>SUM(M11/M26)</f>
        <v>0.1326314014064615</v>
      </c>
      <c r="L11" s="641" t="s">
        <v>15</v>
      </c>
      <c r="M11" s="642">
        <v>10263771488</v>
      </c>
      <c r="N11" s="618"/>
      <c r="O11" s="643">
        <v>0.15214469457596597</v>
      </c>
      <c r="P11" s="601" t="s">
        <v>16</v>
      </c>
      <c r="Q11" s="603">
        <v>4511179</v>
      </c>
      <c r="R11" s="601" t="s">
        <v>14</v>
      </c>
      <c r="S11" s="620">
        <v>27331038</v>
      </c>
      <c r="U11" s="125">
        <v>0.0348</v>
      </c>
      <c r="V11" s="818">
        <f t="shared" si="2"/>
        <v>4466005919.6959915</v>
      </c>
      <c r="AE11" s="259" t="s">
        <v>359</v>
      </c>
      <c r="AF11" s="260">
        <v>3213443701.717514</v>
      </c>
      <c r="AG11" s="125">
        <f t="shared" si="0"/>
        <v>0.050255904307875514</v>
      </c>
      <c r="AI11" s="601" t="s">
        <v>358</v>
      </c>
      <c r="AJ11" s="555">
        <v>1031666985</v>
      </c>
      <c r="AK11" s="125">
        <f t="shared" si="3"/>
        <v>0.008141146778230883</v>
      </c>
    </row>
    <row r="12" spans="1:37" s="601" customFormat="1" ht="15.75" customHeight="1">
      <c r="A12" s="510"/>
      <c r="B12" s="511"/>
      <c r="C12" s="854"/>
      <c r="D12" s="854"/>
      <c r="E12" s="854"/>
      <c r="F12" s="647" t="s">
        <v>17</v>
      </c>
      <c r="G12" s="108">
        <f t="shared" si="1"/>
        <v>160416879.33333334</v>
      </c>
      <c r="H12" s="648">
        <v>12</v>
      </c>
      <c r="I12" s="662">
        <v>1925002552</v>
      </c>
      <c r="J12" s="639">
        <v>10682247995.412922</v>
      </c>
      <c r="K12" s="640">
        <f>SUM(M12/M26)</f>
        <v>0.10459988306321616</v>
      </c>
      <c r="L12" s="641" t="s">
        <v>17</v>
      </c>
      <c r="M12" s="642">
        <v>8094533316</v>
      </c>
      <c r="N12" s="618"/>
      <c r="O12" s="643">
        <v>0.11527080749927986</v>
      </c>
      <c r="P12" s="601" t="s">
        <v>18</v>
      </c>
      <c r="Q12" s="603"/>
      <c r="R12" s="601" t="s">
        <v>19</v>
      </c>
      <c r="S12" s="620">
        <v>5339243</v>
      </c>
      <c r="U12" s="125">
        <v>0.015</v>
      </c>
      <c r="V12" s="818">
        <f t="shared" si="2"/>
        <v>1925002551.5931</v>
      </c>
      <c r="AE12" s="259" t="s">
        <v>360</v>
      </c>
      <c r="AF12" s="260">
        <v>2223306732.917108</v>
      </c>
      <c r="AG12" s="125">
        <f t="shared" si="0"/>
        <v>0.034770887803890274</v>
      </c>
      <c r="AI12" s="601" t="s">
        <v>359</v>
      </c>
      <c r="AJ12" s="555">
        <v>15275989910</v>
      </c>
      <c r="AK12" s="125">
        <f t="shared" si="3"/>
        <v>0.12054672471668167</v>
      </c>
    </row>
    <row r="13" spans="1:37" s="601" customFormat="1" ht="15.75" customHeight="1">
      <c r="A13" s="510"/>
      <c r="B13" s="511" t="s">
        <v>20</v>
      </c>
      <c r="C13" s="854"/>
      <c r="D13" s="854"/>
      <c r="E13" s="854" t="s">
        <v>20</v>
      </c>
      <c r="F13" s="647" t="s">
        <v>21</v>
      </c>
      <c r="G13" s="108">
        <f t="shared" si="1"/>
        <v>112291815.5</v>
      </c>
      <c r="H13" s="648">
        <v>12</v>
      </c>
      <c r="I13" s="662">
        <v>1347501786</v>
      </c>
      <c r="J13" s="639">
        <v>6285863457.500749</v>
      </c>
      <c r="K13" s="640">
        <f>SUM(M13/M26)</f>
        <v>0.061550769359432586</v>
      </c>
      <c r="L13" s="641" t="s">
        <v>21</v>
      </c>
      <c r="M13" s="642">
        <v>4763148281</v>
      </c>
      <c r="N13" s="618"/>
      <c r="O13" s="643">
        <v>0.05521563196005794</v>
      </c>
      <c r="P13" s="601" t="s">
        <v>22</v>
      </c>
      <c r="Q13" s="603"/>
      <c r="R13" s="601" t="s">
        <v>23</v>
      </c>
      <c r="S13" s="620">
        <v>368295824</v>
      </c>
      <c r="U13" s="125">
        <v>0.0105</v>
      </c>
      <c r="V13" s="818">
        <f t="shared" si="2"/>
        <v>1347501786.1151702</v>
      </c>
      <c r="AE13" s="259" t="s">
        <v>361</v>
      </c>
      <c r="AF13" s="260">
        <v>957854543.0931329</v>
      </c>
      <c r="AG13" s="125">
        <f t="shared" si="0"/>
        <v>0.014980143026256755</v>
      </c>
      <c r="AI13" s="601" t="s">
        <v>360</v>
      </c>
      <c r="AJ13" s="555">
        <v>16086512713</v>
      </c>
      <c r="AK13" s="125">
        <f t="shared" si="3"/>
        <v>0.12694276646490735</v>
      </c>
    </row>
    <row r="14" spans="1:37" s="601" customFormat="1" ht="15.75" customHeight="1">
      <c r="A14" s="510"/>
      <c r="B14" s="511"/>
      <c r="C14" s="854"/>
      <c r="D14" s="854"/>
      <c r="E14" s="854"/>
      <c r="F14" s="647" t="s">
        <v>24</v>
      </c>
      <c r="G14" s="108">
        <f t="shared" si="1"/>
        <v>81277885.5</v>
      </c>
      <c r="H14" s="648">
        <v>12</v>
      </c>
      <c r="I14" s="662">
        <v>975334626</v>
      </c>
      <c r="J14" s="639">
        <v>965285902.2780033</v>
      </c>
      <c r="K14" s="640">
        <f>SUM(M14/M26)</f>
        <v>0.009452017266796968</v>
      </c>
      <c r="L14" s="641" t="s">
        <v>24</v>
      </c>
      <c r="M14" s="642">
        <v>731450805</v>
      </c>
      <c r="N14" s="618"/>
      <c r="O14" s="643">
        <v>0.008839290987217635</v>
      </c>
      <c r="P14" s="601" t="s">
        <v>25</v>
      </c>
      <c r="Q14" s="603"/>
      <c r="R14" s="601" t="s">
        <v>22</v>
      </c>
      <c r="S14" s="620"/>
      <c r="U14" s="125">
        <v>0.0076</v>
      </c>
      <c r="V14" s="818">
        <f t="shared" si="2"/>
        <v>975334626.1405041</v>
      </c>
      <c r="AE14" s="259" t="s">
        <v>362</v>
      </c>
      <c r="AF14" s="260">
        <v>671360689.766691</v>
      </c>
      <c r="AG14" s="125">
        <f t="shared" si="0"/>
        <v>0.010499589136399349</v>
      </c>
      <c r="AI14" s="601" t="s">
        <v>361</v>
      </c>
      <c r="AJ14" s="555">
        <v>13953406852</v>
      </c>
      <c r="AK14" s="125">
        <f t="shared" si="3"/>
        <v>0.11010988515688956</v>
      </c>
    </row>
    <row r="15" spans="1:37" s="601" customFormat="1" ht="15.75" customHeight="1">
      <c r="A15" s="510"/>
      <c r="B15" s="511"/>
      <c r="C15" s="854"/>
      <c r="D15" s="854"/>
      <c r="E15" s="854"/>
      <c r="F15" s="647" t="s">
        <v>26</v>
      </c>
      <c r="G15" s="108">
        <f t="shared" si="1"/>
        <v>370028268.25</v>
      </c>
      <c r="H15" s="648">
        <v>12</v>
      </c>
      <c r="I15" s="662">
        <v>4440339219</v>
      </c>
      <c r="J15" s="639">
        <v>4384588047.17678</v>
      </c>
      <c r="K15" s="640">
        <f>SUM(M15/M26)</f>
        <v>0.042933603227710705</v>
      </c>
      <c r="L15" s="641" t="s">
        <v>26</v>
      </c>
      <c r="M15" s="642">
        <v>3322446178</v>
      </c>
      <c r="N15" s="618"/>
      <c r="O15" s="643">
        <v>0.05838079416151145</v>
      </c>
      <c r="P15" s="601" t="s">
        <v>27</v>
      </c>
      <c r="Q15" s="603"/>
      <c r="R15" s="601" t="s">
        <v>25</v>
      </c>
      <c r="S15" s="620"/>
      <c r="U15" s="125">
        <v>0.0346</v>
      </c>
      <c r="V15" s="818">
        <f t="shared" si="2"/>
        <v>4440339219.008084</v>
      </c>
      <c r="AE15" s="259" t="s">
        <v>363</v>
      </c>
      <c r="AF15" s="260">
        <v>487778572.0358834</v>
      </c>
      <c r="AG15" s="125">
        <f t="shared" si="0"/>
        <v>0.0076284993655141575</v>
      </c>
      <c r="AI15" s="601" t="s">
        <v>362</v>
      </c>
      <c r="AJ15" s="555">
        <v>9529684848</v>
      </c>
      <c r="AK15" s="125">
        <f t="shared" si="3"/>
        <v>0.07520116881306506</v>
      </c>
    </row>
    <row r="16" spans="1:37" s="601" customFormat="1" ht="15.75" customHeight="1">
      <c r="A16" s="510"/>
      <c r="B16" s="511"/>
      <c r="C16" s="854"/>
      <c r="D16" s="854"/>
      <c r="E16" s="854"/>
      <c r="F16" s="647" t="s">
        <v>387</v>
      </c>
      <c r="G16" s="108">
        <f t="shared" si="1"/>
        <v>588195224.0833334</v>
      </c>
      <c r="H16" s="648">
        <v>12</v>
      </c>
      <c r="I16" s="662">
        <v>7058342689</v>
      </c>
      <c r="J16" s="639">
        <v>5907008937.292468</v>
      </c>
      <c r="K16" s="640">
        <f>SUM(M16/M26)</f>
        <v>0.05784105034441124</v>
      </c>
      <c r="L16" s="641" t="s">
        <v>28</v>
      </c>
      <c r="M16" s="642">
        <v>4476069144</v>
      </c>
      <c r="N16" s="618"/>
      <c r="O16" s="643">
        <v>0.061774094689323225</v>
      </c>
      <c r="P16" s="601" t="s">
        <v>29</v>
      </c>
      <c r="Q16" s="603"/>
      <c r="R16" s="601" t="s">
        <v>27</v>
      </c>
      <c r="S16" s="620"/>
      <c r="U16" s="125">
        <v>0.055</v>
      </c>
      <c r="V16" s="818">
        <f t="shared" si="2"/>
        <v>7058342689.174701</v>
      </c>
      <c r="AE16" s="259" t="s">
        <v>364</v>
      </c>
      <c r="AF16" s="260">
        <v>2215290168.468532</v>
      </c>
      <c r="AG16" s="125">
        <f t="shared" si="0"/>
        <v>0.03464551461138959</v>
      </c>
      <c r="AI16" s="601" t="s">
        <v>363</v>
      </c>
      <c r="AJ16" s="555">
        <v>1537932671</v>
      </c>
      <c r="AK16" s="125">
        <f t="shared" si="3"/>
        <v>0.012136218170873875</v>
      </c>
    </row>
    <row r="17" spans="1:37" s="601" customFormat="1" ht="15.75" customHeight="1">
      <c r="A17" s="510"/>
      <c r="B17" s="511"/>
      <c r="C17" s="854"/>
      <c r="D17" s="854"/>
      <c r="E17" s="854"/>
      <c r="F17" s="647" t="s">
        <v>30</v>
      </c>
      <c r="G17" s="108">
        <f t="shared" si="1"/>
        <v>303722624.8333333</v>
      </c>
      <c r="H17" s="648">
        <v>12</v>
      </c>
      <c r="I17" s="662">
        <v>3644671498</v>
      </c>
      <c r="J17" s="639">
        <v>1324032687.41277</v>
      </c>
      <c r="K17" s="640">
        <f>SUM(M17/M26)</f>
        <v>0.012964842637497491</v>
      </c>
      <c r="L17" s="641" t="s">
        <v>30</v>
      </c>
      <c r="M17" s="642">
        <v>1003293193</v>
      </c>
      <c r="N17" s="618"/>
      <c r="O17" s="643">
        <v>0.016380702408584406</v>
      </c>
      <c r="P17" s="601" t="s">
        <v>31</v>
      </c>
      <c r="Q17" s="603"/>
      <c r="R17" s="601" t="s">
        <v>29</v>
      </c>
      <c r="S17" s="620"/>
      <c r="U17" s="125">
        <v>0.0284</v>
      </c>
      <c r="V17" s="818">
        <f t="shared" si="2"/>
        <v>3644671497.6829367</v>
      </c>
      <c r="AE17" s="259" t="s">
        <v>385</v>
      </c>
      <c r="AF17" s="260">
        <v>813069275.6747783</v>
      </c>
      <c r="AG17" s="125">
        <f t="shared" si="0"/>
        <v>0.0127158075593936</v>
      </c>
      <c r="AI17" s="601" t="s">
        <v>364</v>
      </c>
      <c r="AJ17" s="555">
        <v>4987629566</v>
      </c>
      <c r="AK17" s="125">
        <f t="shared" si="3"/>
        <v>0.039358654452095305</v>
      </c>
    </row>
    <row r="18" spans="1:37" s="601" customFormat="1" ht="15.75" customHeight="1">
      <c r="A18" s="510"/>
      <c r="B18" s="511"/>
      <c r="C18" s="854"/>
      <c r="D18" s="854"/>
      <c r="E18" s="854"/>
      <c r="F18" s="647" t="s">
        <v>388</v>
      </c>
      <c r="G18" s="108">
        <f t="shared" si="1"/>
        <v>424570007.25</v>
      </c>
      <c r="H18" s="648">
        <v>12</v>
      </c>
      <c r="I18" s="662">
        <v>5094840087</v>
      </c>
      <c r="J18" s="639">
        <v>1491070912.9273252</v>
      </c>
      <c r="K18" s="640">
        <f>SUM(M18/M26)</f>
        <v>0.014600470163034474</v>
      </c>
      <c r="L18" s="641" t="s">
        <v>32</v>
      </c>
      <c r="M18" s="642">
        <v>1129867345</v>
      </c>
      <c r="N18" s="618"/>
      <c r="O18" s="643">
        <v>0.018369856525966642</v>
      </c>
      <c r="P18" s="601" t="s">
        <v>33</v>
      </c>
      <c r="Q18" s="603"/>
      <c r="R18" s="601" t="s">
        <v>31</v>
      </c>
      <c r="S18" s="620"/>
      <c r="U18" s="125">
        <v>0.0397</v>
      </c>
      <c r="V18" s="818">
        <f t="shared" si="2"/>
        <v>5094840086.549738</v>
      </c>
      <c r="AE18" s="259" t="s">
        <v>365</v>
      </c>
      <c r="AF18" s="260">
        <v>1425162789.8192716</v>
      </c>
      <c r="AG18" s="125">
        <f t="shared" si="0"/>
        <v>0.022288501506972536</v>
      </c>
      <c r="AI18" s="601" t="s">
        <v>385</v>
      </c>
      <c r="AJ18" s="555">
        <v>266270055</v>
      </c>
      <c r="AK18" s="125">
        <f t="shared" si="3"/>
        <v>0.002101204780147743</v>
      </c>
    </row>
    <row r="19" spans="1:37" s="601" customFormat="1" ht="15.75" customHeight="1">
      <c r="A19" s="510"/>
      <c r="B19" s="511"/>
      <c r="C19" s="854"/>
      <c r="D19" s="854"/>
      <c r="E19" s="854"/>
      <c r="F19" s="647" t="s">
        <v>34</v>
      </c>
      <c r="G19" s="108">
        <f t="shared" si="1"/>
        <v>135819624.5</v>
      </c>
      <c r="H19" s="648">
        <v>12</v>
      </c>
      <c r="I19" s="662">
        <v>1629835494</v>
      </c>
      <c r="J19" s="639">
        <v>390210886.18995166</v>
      </c>
      <c r="K19" s="640">
        <f>SUM(M19/M26)</f>
        <v>0.0038209198179062825</v>
      </c>
      <c r="L19" s="641" t="s">
        <v>34</v>
      </c>
      <c r="M19" s="642">
        <v>295684487</v>
      </c>
      <c r="N19" s="618"/>
      <c r="O19" s="643">
        <v>0.002157796033396506</v>
      </c>
      <c r="P19" s="601" t="s">
        <v>35</v>
      </c>
      <c r="Q19" s="603"/>
      <c r="R19" s="601" t="s">
        <v>33</v>
      </c>
      <c r="S19" s="620"/>
      <c r="U19" s="125">
        <v>0.0127</v>
      </c>
      <c r="V19" s="818">
        <f t="shared" si="2"/>
        <v>1629835493.682158</v>
      </c>
      <c r="AE19" s="259" t="s">
        <v>366</v>
      </c>
      <c r="AF19" s="260">
        <v>1202292384.9738796</v>
      </c>
      <c r="AG19" s="125">
        <f t="shared" si="0"/>
        <v>0.018802971720662278</v>
      </c>
      <c r="AI19" s="601" t="s">
        <v>365</v>
      </c>
      <c r="AJ19" s="555">
        <v>2384298060</v>
      </c>
      <c r="AK19" s="125">
        <f t="shared" si="3"/>
        <v>0.018815102888565482</v>
      </c>
    </row>
    <row r="20" spans="1:37" s="601" customFormat="1" ht="15.75" customHeight="1">
      <c r="A20" s="510"/>
      <c r="B20" s="511"/>
      <c r="C20" s="854"/>
      <c r="D20" s="854"/>
      <c r="E20" s="854"/>
      <c r="F20" s="647" t="s">
        <v>36</v>
      </c>
      <c r="G20" s="108">
        <f t="shared" si="1"/>
        <v>45986172.083333336</v>
      </c>
      <c r="H20" s="648">
        <v>12</v>
      </c>
      <c r="I20" s="662">
        <v>551834065</v>
      </c>
      <c r="J20" s="639">
        <v>46657883.708378896</v>
      </c>
      <c r="K20" s="640">
        <f>SUM(M20/M26)</f>
        <v>0.00045687098651606606</v>
      </c>
      <c r="L20" s="641" t="s">
        <v>36</v>
      </c>
      <c r="M20" s="642">
        <v>35355273</v>
      </c>
      <c r="N20" s="618"/>
      <c r="O20" s="643">
        <v>0.00048559976960308376</v>
      </c>
      <c r="P20" s="601" t="s">
        <v>37</v>
      </c>
      <c r="Q20" s="603"/>
      <c r="R20" s="601" t="s">
        <v>35</v>
      </c>
      <c r="S20" s="620"/>
      <c r="U20" s="125">
        <v>0.0043</v>
      </c>
      <c r="V20" s="818">
        <f t="shared" si="2"/>
        <v>551834064.790022</v>
      </c>
      <c r="AE20" s="259" t="s">
        <v>367</v>
      </c>
      <c r="AF20" s="260">
        <v>2540160349.220242</v>
      </c>
      <c r="AG20" s="125">
        <f t="shared" si="0"/>
        <v>0.03972624613552176</v>
      </c>
      <c r="AI20" s="601" t="s">
        <v>366</v>
      </c>
      <c r="AJ20" s="555">
        <v>185429729</v>
      </c>
      <c r="AK20" s="125">
        <f t="shared" si="3"/>
        <v>0.001463273190657134</v>
      </c>
    </row>
    <row r="21" spans="1:37" s="601" customFormat="1" ht="15.75" customHeight="1">
      <c r="A21" s="510"/>
      <c r="B21" s="511"/>
      <c r="C21" s="854"/>
      <c r="D21" s="854"/>
      <c r="E21" s="854"/>
      <c r="F21" s="647" t="s">
        <v>39</v>
      </c>
      <c r="G21" s="108">
        <f t="shared" si="1"/>
        <v>611723033.0833334</v>
      </c>
      <c r="H21" s="648">
        <v>12</v>
      </c>
      <c r="I21" s="662">
        <v>7340676397</v>
      </c>
      <c r="J21" s="639">
        <v>3565161297.8369493</v>
      </c>
      <c r="K21" s="640">
        <f>SUM(M21/M26)</f>
        <v>0.034909829374433446</v>
      </c>
      <c r="L21" s="641" t="s">
        <v>39</v>
      </c>
      <c r="M21" s="642">
        <v>2701520964</v>
      </c>
      <c r="N21" s="618"/>
      <c r="O21" s="643">
        <v>0.04558576941856265</v>
      </c>
      <c r="P21" s="601" t="s">
        <v>40</v>
      </c>
      <c r="Q21" s="603">
        <v>43274988</v>
      </c>
      <c r="R21" s="601" t="s">
        <v>37</v>
      </c>
      <c r="S21" s="620"/>
      <c r="U21" s="125">
        <v>0.0572</v>
      </c>
      <c r="V21" s="818">
        <f t="shared" si="2"/>
        <v>7340676396.741689</v>
      </c>
      <c r="AE21" s="259" t="s">
        <v>368</v>
      </c>
      <c r="AF21" s="260">
        <v>0</v>
      </c>
      <c r="AG21" s="125">
        <f t="shared" si="0"/>
        <v>0</v>
      </c>
      <c r="AI21" s="601" t="s">
        <v>367</v>
      </c>
      <c r="AJ21" s="555">
        <v>2580506228</v>
      </c>
      <c r="AK21" s="125">
        <f t="shared" si="3"/>
        <v>0.020363431484905884</v>
      </c>
    </row>
    <row r="22" spans="1:37" s="601" customFormat="1" ht="15.75" customHeight="1">
      <c r="A22" s="510"/>
      <c r="B22" s="511"/>
      <c r="C22" s="854"/>
      <c r="D22" s="854"/>
      <c r="E22" s="854"/>
      <c r="F22" s="650" t="s">
        <v>41</v>
      </c>
      <c r="G22" s="108">
        <f t="shared" si="1"/>
        <v>238486427.25</v>
      </c>
      <c r="H22" s="648">
        <v>12</v>
      </c>
      <c r="I22" s="662">
        <v>2861837127</v>
      </c>
      <c r="J22" s="639">
        <v>2739143057.846892</v>
      </c>
      <c r="K22" s="640">
        <f>SUM(M22/M26)</f>
        <v>0.026821512070047206</v>
      </c>
      <c r="L22" s="641" t="s">
        <v>41</v>
      </c>
      <c r="M22" s="642">
        <v>2075601011</v>
      </c>
      <c r="N22" s="618"/>
      <c r="O22" s="643">
        <v>0.027915748351728272</v>
      </c>
      <c r="P22" s="601" t="s">
        <v>42</v>
      </c>
      <c r="R22" s="601" t="s">
        <v>40</v>
      </c>
      <c r="S22" s="620">
        <v>2182745913</v>
      </c>
      <c r="U22" s="125">
        <v>0.0223</v>
      </c>
      <c r="V22" s="818">
        <f t="shared" si="2"/>
        <v>2861837126.701742</v>
      </c>
      <c r="AE22" s="259" t="s">
        <v>369</v>
      </c>
      <c r="AF22" s="260">
        <v>0</v>
      </c>
      <c r="AG22" s="125">
        <f t="shared" si="0"/>
        <v>0</v>
      </c>
      <c r="AI22" s="601" t="s">
        <v>368</v>
      </c>
      <c r="AJ22" s="555">
        <v>0</v>
      </c>
      <c r="AK22" s="125">
        <f t="shared" si="3"/>
        <v>0</v>
      </c>
    </row>
    <row r="23" spans="1:37" s="601" customFormat="1" ht="15.75" customHeight="1">
      <c r="A23" s="510"/>
      <c r="B23" s="511"/>
      <c r="C23" s="854"/>
      <c r="D23" s="854"/>
      <c r="E23" s="854"/>
      <c r="F23" s="650" t="s">
        <v>57</v>
      </c>
      <c r="G23" s="108">
        <f t="shared" si="1"/>
        <v>201055822.08333334</v>
      </c>
      <c r="H23" s="648">
        <v>12</v>
      </c>
      <c r="I23" s="662">
        <v>2412669865</v>
      </c>
      <c r="J23" s="639">
        <v>154637563.7302752</v>
      </c>
      <c r="K23" s="640">
        <f>SUM(M23/M26)</f>
        <v>0.0015142010455395886</v>
      </c>
      <c r="L23" s="641" t="s">
        <v>43</v>
      </c>
      <c r="M23" s="642">
        <v>117177481</v>
      </c>
      <c r="N23" s="618"/>
      <c r="O23" s="643">
        <v>0.0007271277790406814</v>
      </c>
      <c r="P23" s="601" t="s">
        <v>44</v>
      </c>
      <c r="R23" s="601" t="s">
        <v>42</v>
      </c>
      <c r="S23" s="620">
        <v>270488</v>
      </c>
      <c r="U23" s="125">
        <v>0.0188</v>
      </c>
      <c r="V23" s="818">
        <f t="shared" si="2"/>
        <v>2412669864.6633525</v>
      </c>
      <c r="AE23" s="259" t="s">
        <v>370</v>
      </c>
      <c r="AF23" s="260">
        <v>1095816475.359055</v>
      </c>
      <c r="AG23" s="125">
        <f t="shared" si="0"/>
        <v>0.017137766532273068</v>
      </c>
      <c r="AI23" s="601" t="s">
        <v>369</v>
      </c>
      <c r="AJ23" s="555">
        <v>0</v>
      </c>
      <c r="AK23" s="125">
        <f t="shared" si="3"/>
        <v>0</v>
      </c>
    </row>
    <row r="24" spans="1:37" s="601" customFormat="1" ht="15.75" customHeight="1">
      <c r="A24" s="510"/>
      <c r="B24" s="511"/>
      <c r="C24" s="854"/>
      <c r="D24" s="854"/>
      <c r="E24" s="854"/>
      <c r="F24" s="650" t="s">
        <v>322</v>
      </c>
      <c r="G24" s="108">
        <f t="shared" si="1"/>
        <v>1885433054.6666667</v>
      </c>
      <c r="H24" s="648">
        <v>12</v>
      </c>
      <c r="I24" s="662">
        <v>22625196656</v>
      </c>
      <c r="J24" s="639">
        <v>5598573046.115964</v>
      </c>
      <c r="K24" s="640">
        <f>SUM(M24/M26)</f>
        <v>0.05482086600087091</v>
      </c>
      <c r="L24" s="641" t="s">
        <v>45</v>
      </c>
      <c r="M24" s="642">
        <v>4242350118</v>
      </c>
      <c r="N24" s="618"/>
      <c r="O24" s="643">
        <v>0.06363191584185231</v>
      </c>
      <c r="S24" s="620"/>
      <c r="U24" s="125">
        <v>0.1763</v>
      </c>
      <c r="V24" s="818">
        <f t="shared" si="2"/>
        <v>22625196656.390903</v>
      </c>
      <c r="AE24" s="259" t="s">
        <v>371</v>
      </c>
      <c r="AF24" s="260">
        <v>697299259.879206</v>
      </c>
      <c r="AG24" s="125">
        <f t="shared" si="0"/>
        <v>0.01090524936214438</v>
      </c>
      <c r="AI24" s="601" t="s">
        <v>370</v>
      </c>
      <c r="AJ24" s="555">
        <v>2129709694</v>
      </c>
      <c r="AK24" s="125">
        <f t="shared" si="3"/>
        <v>0.016806081289763457</v>
      </c>
    </row>
    <row r="25" spans="1:37" s="601" customFormat="1" ht="15.75" customHeight="1">
      <c r="A25" s="510"/>
      <c r="B25" s="511"/>
      <c r="C25" s="854"/>
      <c r="D25" s="854"/>
      <c r="E25" s="854"/>
      <c r="F25" s="647" t="s">
        <v>59</v>
      </c>
      <c r="G25" s="108">
        <f t="shared" si="1"/>
        <v>716528727.5</v>
      </c>
      <c r="H25" s="648">
        <v>12</v>
      </c>
      <c r="I25" s="662">
        <v>8598344730</v>
      </c>
      <c r="J25" s="639">
        <v>7763874622.791764</v>
      </c>
      <c r="K25" s="640">
        <f>SUM(M25/M26)</f>
        <v>0.07602335931633632</v>
      </c>
      <c r="L25" s="651" t="s">
        <v>47</v>
      </c>
      <c r="M25" s="642">
        <v>5883119529</v>
      </c>
      <c r="N25" s="618"/>
      <c r="O25" s="643">
        <v>0.07423750653788547</v>
      </c>
      <c r="P25" s="601" t="s">
        <v>48</v>
      </c>
      <c r="Q25" s="603"/>
      <c r="R25" s="601" t="s">
        <v>44</v>
      </c>
      <c r="U25" s="125">
        <v>0.067</v>
      </c>
      <c r="V25" s="818">
        <f t="shared" si="2"/>
        <v>8598344730.44918</v>
      </c>
      <c r="AE25" s="259" t="s">
        <v>372</v>
      </c>
      <c r="AF25" s="260">
        <v>0</v>
      </c>
      <c r="AG25" s="125">
        <f t="shared" si="0"/>
        <v>0</v>
      </c>
      <c r="AI25" s="601" t="s">
        <v>371</v>
      </c>
      <c r="AJ25" s="555">
        <v>640808</v>
      </c>
      <c r="AK25" s="125">
        <f t="shared" si="3"/>
        <v>5.056779038697817E-06</v>
      </c>
    </row>
    <row r="26" spans="1:37" s="601" customFormat="1" ht="15.75" customHeight="1">
      <c r="A26" s="514"/>
      <c r="B26" s="515"/>
      <c r="C26" s="855"/>
      <c r="D26" s="855"/>
      <c r="E26" s="855"/>
      <c r="F26" s="517" t="s">
        <v>303</v>
      </c>
      <c r="G26" s="654"/>
      <c r="H26" s="654"/>
      <c r="I26" s="110">
        <f>+'20년 추경수입(대전)'!H9</f>
        <v>128333503439.54001</v>
      </c>
      <c r="J26" s="656">
        <f>SUM(J9:J25)</f>
        <v>102124855999.66664</v>
      </c>
      <c r="K26" s="640">
        <f>SUM(K9:K25)</f>
        <v>1</v>
      </c>
      <c r="L26" s="631" t="s">
        <v>49</v>
      </c>
      <c r="M26" s="657">
        <f>SUM(M9:M25)</f>
        <v>77385682268</v>
      </c>
      <c r="N26" s="658"/>
      <c r="P26" s="601" t="s">
        <v>38</v>
      </c>
      <c r="R26" s="640" t="s">
        <v>48</v>
      </c>
      <c r="S26" s="620"/>
      <c r="V26" s="356">
        <f>SUM(V9:V25)</f>
        <v>128333503439.54001</v>
      </c>
      <c r="AE26" s="259" t="s">
        <v>373</v>
      </c>
      <c r="AF26" s="260">
        <v>3518768406.4494076</v>
      </c>
      <c r="AG26" s="125">
        <f t="shared" si="0"/>
        <v>0.05503095891226618</v>
      </c>
      <c r="AI26" s="601" t="s">
        <v>372</v>
      </c>
      <c r="AJ26" s="555">
        <v>0</v>
      </c>
      <c r="AK26" s="125">
        <f t="shared" si="3"/>
        <v>0</v>
      </c>
    </row>
    <row r="27" spans="1:37" s="601" customFormat="1" ht="15.75" customHeight="1">
      <c r="A27" s="514" t="s">
        <v>50</v>
      </c>
      <c r="B27" s="515"/>
      <c r="C27" s="856">
        <f>SUM(C28:C45)</f>
        <v>70458000000</v>
      </c>
      <c r="D27" s="856">
        <f>SUM(D28:D45)</f>
        <v>70458000000</v>
      </c>
      <c r="E27" s="856">
        <f>C27-D27</f>
        <v>0</v>
      </c>
      <c r="F27" s="519"/>
      <c r="G27" s="520"/>
      <c r="H27" s="520"/>
      <c r="I27" s="521"/>
      <c r="J27" s="522"/>
      <c r="L27" s="631"/>
      <c r="M27" s="632" t="s">
        <v>51</v>
      </c>
      <c r="N27" s="633"/>
      <c r="P27" s="640" t="s">
        <v>52</v>
      </c>
      <c r="Q27" s="603">
        <v>346491082</v>
      </c>
      <c r="R27" s="601" t="s">
        <v>38</v>
      </c>
      <c r="AE27" s="259" t="s">
        <v>374</v>
      </c>
      <c r="AF27" s="260">
        <v>535907782.08582056</v>
      </c>
      <c r="AG27" s="125">
        <f t="shared" si="0"/>
        <v>0.008381204935986887</v>
      </c>
      <c r="AI27" s="601" t="s">
        <v>373</v>
      </c>
      <c r="AJ27" s="555">
        <v>9913328600</v>
      </c>
      <c r="AK27" s="125">
        <f t="shared" si="3"/>
        <v>0.07822859931243613</v>
      </c>
    </row>
    <row r="28" spans="1:37" s="601" customFormat="1" ht="15.75" customHeight="1">
      <c r="A28" s="506"/>
      <c r="B28" s="507" t="s">
        <v>300</v>
      </c>
      <c r="C28" s="853">
        <f>+I45+'2020년추경예산안수입 (의정부)'!C11</f>
        <v>70458000000</v>
      </c>
      <c r="D28" s="853">
        <f>'2020년추경예산안수입 (의정부)'!D11+70458000000</f>
        <v>70458000000</v>
      </c>
      <c r="E28" s="853">
        <f>C28-D28</f>
        <v>0</v>
      </c>
      <c r="F28" s="661" t="s">
        <v>10</v>
      </c>
      <c r="G28" s="121">
        <f>I28/H28</f>
        <v>1465526406.6666667</v>
      </c>
      <c r="H28" s="523">
        <v>12</v>
      </c>
      <c r="I28" s="111">
        <v>17586316880</v>
      </c>
      <c r="J28" s="648"/>
      <c r="K28" s="640">
        <f>SUM(M28/M45)</f>
        <v>0.3293137282038295</v>
      </c>
      <c r="L28" s="641" t="s">
        <v>10</v>
      </c>
      <c r="M28" s="642">
        <v>12050804917</v>
      </c>
      <c r="N28" s="618">
        <f>+J28*101.42%</f>
        <v>0</v>
      </c>
      <c r="O28" s="643">
        <v>0.2893935477751763</v>
      </c>
      <c r="P28" s="601" t="s">
        <v>309</v>
      </c>
      <c r="Q28" s="603">
        <v>47411373</v>
      </c>
      <c r="R28" s="601" t="s">
        <v>52</v>
      </c>
      <c r="S28" s="620">
        <v>34695107</v>
      </c>
      <c r="U28" s="125">
        <v>0.2496</v>
      </c>
      <c r="V28" s="555">
        <f>$C$28*U28</f>
        <v>17586316800</v>
      </c>
      <c r="W28" s="640"/>
      <c r="X28" s="1009"/>
      <c r="Y28" s="1009"/>
      <c r="AE28" s="259" t="s">
        <v>375</v>
      </c>
      <c r="AF28" s="260">
        <v>1905685094.3455408</v>
      </c>
      <c r="AG28" s="125">
        <f t="shared" si="0"/>
        <v>0.02980351816687694</v>
      </c>
      <c r="AI28" s="601" t="s">
        <v>374</v>
      </c>
      <c r="AJ28" s="555">
        <v>3806062731</v>
      </c>
      <c r="AK28" s="125">
        <f t="shared" si="3"/>
        <v>0.03003460980214006</v>
      </c>
    </row>
    <row r="29" spans="1:37" s="601" customFormat="1" ht="15.75" customHeight="1">
      <c r="A29" s="510"/>
      <c r="B29" s="511"/>
      <c r="C29" s="857"/>
      <c r="D29" s="857"/>
      <c r="E29" s="854"/>
      <c r="F29" s="666" t="s">
        <v>13</v>
      </c>
      <c r="G29" s="122">
        <f aca="true" t="shared" si="4" ref="G29:G44">I29/H29</f>
        <v>707515750</v>
      </c>
      <c r="H29" s="522">
        <v>12</v>
      </c>
      <c r="I29" s="112">
        <v>8490189000</v>
      </c>
      <c r="J29" s="648"/>
      <c r="K29" s="640">
        <f>SUM(M29/M45)</f>
        <v>0.06482470397208413</v>
      </c>
      <c r="L29" s="641" t="s">
        <v>13</v>
      </c>
      <c r="M29" s="642">
        <v>2372175207</v>
      </c>
      <c r="N29" s="618">
        <f aca="true" t="shared" si="5" ref="N29:N44">+J29*101.42%</f>
        <v>0</v>
      </c>
      <c r="O29" s="643">
        <v>0.058441106890782996</v>
      </c>
      <c r="P29" s="601" t="s">
        <v>311</v>
      </c>
      <c r="R29" s="601" t="s">
        <v>309</v>
      </c>
      <c r="S29" s="620">
        <v>513380</v>
      </c>
      <c r="U29" s="125">
        <v>0.1205</v>
      </c>
      <c r="V29" s="555">
        <f aca="true" t="shared" si="6" ref="V29:V44">$C$28*U29</f>
        <v>8490189000</v>
      </c>
      <c r="W29" s="640"/>
      <c r="X29" s="1009"/>
      <c r="Y29" s="1009"/>
      <c r="AE29" s="259" t="s">
        <v>376</v>
      </c>
      <c r="AF29" s="260">
        <v>0</v>
      </c>
      <c r="AG29" s="125">
        <f t="shared" si="0"/>
        <v>0</v>
      </c>
      <c r="AI29" s="601" t="s">
        <v>375</v>
      </c>
      <c r="AJ29" s="555">
        <v>656735677</v>
      </c>
      <c r="AK29" s="125">
        <f t="shared" si="3"/>
        <v>0.00518246839212154</v>
      </c>
    </row>
    <row r="30" spans="1:37" s="601" customFormat="1" ht="15.75" customHeight="1">
      <c r="A30" s="510"/>
      <c r="B30" s="511"/>
      <c r="C30" s="857"/>
      <c r="D30" s="857"/>
      <c r="E30" s="854"/>
      <c r="F30" s="666" t="s">
        <v>15</v>
      </c>
      <c r="G30" s="122">
        <f t="shared" si="4"/>
        <v>745093350</v>
      </c>
      <c r="H30" s="522">
        <v>12</v>
      </c>
      <c r="I30" s="112">
        <v>8941120200</v>
      </c>
      <c r="J30" s="648"/>
      <c r="K30" s="640">
        <f>SUM(M30/M45)</f>
        <v>0.04661652316322311</v>
      </c>
      <c r="L30" s="641" t="s">
        <v>15</v>
      </c>
      <c r="M30" s="642">
        <v>1705870659</v>
      </c>
      <c r="N30" s="618">
        <f t="shared" si="5"/>
        <v>0</v>
      </c>
      <c r="O30" s="643">
        <v>0.047897207350128236</v>
      </c>
      <c r="P30" s="601" t="s">
        <v>312</v>
      </c>
      <c r="R30" s="601" t="s">
        <v>311</v>
      </c>
      <c r="U30" s="125">
        <v>0.1269</v>
      </c>
      <c r="V30" s="555">
        <f t="shared" si="6"/>
        <v>8941120200</v>
      </c>
      <c r="W30" s="640"/>
      <c r="X30" s="1009"/>
      <c r="Y30" s="1009"/>
      <c r="AE30" s="259" t="s">
        <v>377</v>
      </c>
      <c r="AF30" s="260">
        <v>44466580.755765475</v>
      </c>
      <c r="AG30" s="125">
        <f t="shared" si="0"/>
        <v>0.0006954247327145538</v>
      </c>
      <c r="AI30" s="601" t="s">
        <v>376</v>
      </c>
      <c r="AJ30" s="555">
        <v>0</v>
      </c>
      <c r="AK30" s="125">
        <f t="shared" si="3"/>
        <v>0</v>
      </c>
    </row>
    <row r="31" spans="1:37" s="601" customFormat="1" ht="15.75" customHeight="1">
      <c r="A31" s="510"/>
      <c r="B31" s="511"/>
      <c r="C31" s="857"/>
      <c r="D31" s="857"/>
      <c r="E31" s="854"/>
      <c r="F31" s="666" t="s">
        <v>17</v>
      </c>
      <c r="G31" s="122">
        <f t="shared" si="4"/>
        <v>646452150</v>
      </c>
      <c r="H31" s="522">
        <v>12</v>
      </c>
      <c r="I31" s="112">
        <v>7757425800</v>
      </c>
      <c r="J31" s="648"/>
      <c r="K31" s="640">
        <f>SUM(M31/M45)</f>
        <v>0.02089930847186529</v>
      </c>
      <c r="L31" s="641" t="s">
        <v>17</v>
      </c>
      <c r="M31" s="642">
        <v>764782843</v>
      </c>
      <c r="N31" s="618">
        <f t="shared" si="5"/>
        <v>0</v>
      </c>
      <c r="O31" s="643">
        <v>0.021426978838763846</v>
      </c>
      <c r="P31" s="601" t="s">
        <v>313</v>
      </c>
      <c r="R31" s="601" t="s">
        <v>312</v>
      </c>
      <c r="U31" s="125">
        <v>0.1101</v>
      </c>
      <c r="V31" s="555">
        <f t="shared" si="6"/>
        <v>7757425800</v>
      </c>
      <c r="W31" s="640"/>
      <c r="X31" s="1009"/>
      <c r="Y31" s="1009"/>
      <c r="AE31" s="259" t="s">
        <v>378</v>
      </c>
      <c r="AF31" s="260">
        <v>0</v>
      </c>
      <c r="AG31" s="125">
        <f t="shared" si="0"/>
        <v>0</v>
      </c>
      <c r="AI31" s="601" t="s">
        <v>377</v>
      </c>
      <c r="AJ31" s="555">
        <v>1876923289</v>
      </c>
      <c r="AK31" s="125">
        <f t="shared" si="3"/>
        <v>0.014811279423881982</v>
      </c>
    </row>
    <row r="32" spans="1:37" s="601" customFormat="1" ht="15.75" customHeight="1">
      <c r="A32" s="510"/>
      <c r="B32" s="511"/>
      <c r="C32" s="857"/>
      <c r="D32" s="857"/>
      <c r="E32" s="854"/>
      <c r="F32" s="666" t="s">
        <v>21</v>
      </c>
      <c r="G32" s="122">
        <f t="shared" si="4"/>
        <v>441536800</v>
      </c>
      <c r="H32" s="522">
        <v>12</v>
      </c>
      <c r="I32" s="112">
        <v>5298441600</v>
      </c>
      <c r="J32" s="648"/>
      <c r="K32" s="640">
        <f>SUM(M32/M45)</f>
        <v>0.011466651678895635</v>
      </c>
      <c r="L32" s="641" t="s">
        <v>21</v>
      </c>
      <c r="M32" s="642">
        <v>419607112</v>
      </c>
      <c r="N32" s="618">
        <f t="shared" si="5"/>
        <v>0</v>
      </c>
      <c r="O32" s="643">
        <v>0.009618651782978622</v>
      </c>
      <c r="P32" s="601" t="s">
        <v>314</v>
      </c>
      <c r="R32" s="601" t="s">
        <v>313</v>
      </c>
      <c r="U32" s="125">
        <v>0.0752</v>
      </c>
      <c r="V32" s="555">
        <f t="shared" si="6"/>
        <v>5298441600</v>
      </c>
      <c r="W32" s="640"/>
      <c r="X32" s="1009"/>
      <c r="Y32" s="1009"/>
      <c r="AE32" s="259" t="s">
        <v>379</v>
      </c>
      <c r="AF32" s="260">
        <v>11272950965.513483</v>
      </c>
      <c r="AG32" s="125">
        <f t="shared" si="0"/>
        <v>0.1763006909650913</v>
      </c>
      <c r="AI32" s="601" t="s">
        <v>378</v>
      </c>
      <c r="AJ32" s="555">
        <v>0</v>
      </c>
      <c r="AK32" s="125">
        <f t="shared" si="3"/>
        <v>0</v>
      </c>
    </row>
    <row r="33" spans="1:37" s="601" customFormat="1" ht="15.75" customHeight="1">
      <c r="A33" s="510"/>
      <c r="B33" s="511"/>
      <c r="C33" s="857"/>
      <c r="D33" s="857"/>
      <c r="E33" s="854"/>
      <c r="F33" s="666" t="s">
        <v>24</v>
      </c>
      <c r="G33" s="122">
        <f t="shared" si="4"/>
        <v>71045150</v>
      </c>
      <c r="H33" s="522">
        <v>12</v>
      </c>
      <c r="I33" s="112">
        <v>852541800</v>
      </c>
      <c r="J33" s="648"/>
      <c r="K33" s="640">
        <f>SUM(M33/M45)</f>
        <v>0.006321685997277022</v>
      </c>
      <c r="L33" s="641" t="s">
        <v>24</v>
      </c>
      <c r="M33" s="642">
        <v>231333826</v>
      </c>
      <c r="N33" s="618">
        <f t="shared" si="5"/>
        <v>0</v>
      </c>
      <c r="O33" s="643">
        <v>0.005528351141318181</v>
      </c>
      <c r="P33" s="601" t="s">
        <v>316</v>
      </c>
      <c r="Q33" s="603">
        <v>745480</v>
      </c>
      <c r="R33" s="601" t="s">
        <v>317</v>
      </c>
      <c r="U33" s="125">
        <v>0.0121</v>
      </c>
      <c r="V33" s="555">
        <f t="shared" si="6"/>
        <v>852541800</v>
      </c>
      <c r="W33" s="640"/>
      <c r="X33" s="1009"/>
      <c r="Y33" s="1009"/>
      <c r="AE33" s="259" t="s">
        <v>380</v>
      </c>
      <c r="AF33" s="260">
        <v>0</v>
      </c>
      <c r="AG33" s="125">
        <f t="shared" si="0"/>
        <v>0</v>
      </c>
      <c r="AI33" s="601" t="s">
        <v>379</v>
      </c>
      <c r="AJ33" s="555">
        <v>4776180471</v>
      </c>
      <c r="AK33" s="125">
        <f t="shared" si="3"/>
        <v>0.03769005582138592</v>
      </c>
    </row>
    <row r="34" spans="1:37" s="601" customFormat="1" ht="15.75" customHeight="1" thickBot="1">
      <c r="A34" s="128"/>
      <c r="B34" s="129"/>
      <c r="C34" s="858"/>
      <c r="D34" s="858"/>
      <c r="E34" s="859"/>
      <c r="F34" s="130" t="s">
        <v>26</v>
      </c>
      <c r="G34" s="131">
        <f t="shared" si="4"/>
        <v>231337100</v>
      </c>
      <c r="H34" s="132">
        <v>12</v>
      </c>
      <c r="I34" s="133">
        <v>2776045200</v>
      </c>
      <c r="J34" s="648"/>
      <c r="K34" s="640">
        <f>SUM(M34/M45)</f>
        <v>0.036567930639596596</v>
      </c>
      <c r="L34" s="641" t="s">
        <v>26</v>
      </c>
      <c r="M34" s="642">
        <v>1338155566</v>
      </c>
      <c r="N34" s="618">
        <f t="shared" si="5"/>
        <v>0</v>
      </c>
      <c r="O34" s="643">
        <v>0.04018828748582029</v>
      </c>
      <c r="P34" s="601" t="s">
        <v>317</v>
      </c>
      <c r="R34" s="601" t="s">
        <v>316</v>
      </c>
      <c r="S34" s="620"/>
      <c r="U34" s="125">
        <v>0.0394</v>
      </c>
      <c r="V34" s="555">
        <f t="shared" si="6"/>
        <v>2776045200</v>
      </c>
      <c r="W34" s="640"/>
      <c r="X34" s="1009"/>
      <c r="Y34" s="1009"/>
      <c r="AE34" s="259" t="s">
        <v>381</v>
      </c>
      <c r="AF34" s="260">
        <v>0</v>
      </c>
      <c r="AG34" s="125">
        <f t="shared" si="0"/>
        <v>0</v>
      </c>
      <c r="AI34" s="601" t="s">
        <v>380</v>
      </c>
      <c r="AJ34" s="555">
        <v>0</v>
      </c>
      <c r="AK34" s="125">
        <f t="shared" si="3"/>
        <v>0</v>
      </c>
    </row>
    <row r="35" spans="1:37" s="601" customFormat="1" ht="15.75" customHeight="1">
      <c r="A35" s="510" t="s">
        <v>50</v>
      </c>
      <c r="B35" s="511" t="s">
        <v>300</v>
      </c>
      <c r="C35" s="857"/>
      <c r="D35" s="857"/>
      <c r="E35" s="854"/>
      <c r="F35" s="666" t="s">
        <v>387</v>
      </c>
      <c r="G35" s="122">
        <f t="shared" si="4"/>
        <v>459151300</v>
      </c>
      <c r="H35" s="522">
        <v>12</v>
      </c>
      <c r="I35" s="112">
        <v>5509815600</v>
      </c>
      <c r="J35" s="648"/>
      <c r="K35" s="640">
        <f>SUM(M35/M45)</f>
        <v>0.13453593782280765</v>
      </c>
      <c r="L35" s="641" t="s">
        <v>53</v>
      </c>
      <c r="M35" s="642">
        <v>4923166580</v>
      </c>
      <c r="N35" s="618">
        <f t="shared" si="5"/>
        <v>0</v>
      </c>
      <c r="O35" s="643">
        <v>0.124989467824062</v>
      </c>
      <c r="P35" s="601" t="s">
        <v>318</v>
      </c>
      <c r="Q35" s="603">
        <v>525430394</v>
      </c>
      <c r="R35" s="601" t="s">
        <v>314</v>
      </c>
      <c r="U35" s="125">
        <v>0.0782</v>
      </c>
      <c r="V35" s="555">
        <f t="shared" si="6"/>
        <v>5509815600</v>
      </c>
      <c r="W35" s="640"/>
      <c r="X35" s="1009"/>
      <c r="Y35" s="1009"/>
      <c r="AE35" s="259" t="s">
        <v>382</v>
      </c>
      <c r="AF35" s="260">
        <v>275133617.4723264</v>
      </c>
      <c r="AG35" s="125">
        <f t="shared" si="0"/>
        <v>0.004302888127207143</v>
      </c>
      <c r="AI35" s="601" t="s">
        <v>381</v>
      </c>
      <c r="AJ35" s="555">
        <v>0</v>
      </c>
      <c r="AK35" s="125">
        <f t="shared" si="3"/>
        <v>0</v>
      </c>
    </row>
    <row r="36" spans="1:37" s="601" customFormat="1" ht="15.75" customHeight="1">
      <c r="A36" s="510"/>
      <c r="B36" s="511" t="s">
        <v>20</v>
      </c>
      <c r="C36" s="857" t="s">
        <v>20</v>
      </c>
      <c r="D36" s="857" t="s">
        <v>20</v>
      </c>
      <c r="E36" s="854" t="s">
        <v>20</v>
      </c>
      <c r="F36" s="666" t="s">
        <v>30</v>
      </c>
      <c r="G36" s="122">
        <f t="shared" si="4"/>
        <v>47559150</v>
      </c>
      <c r="H36" s="522">
        <v>12</v>
      </c>
      <c r="I36" s="112">
        <v>570709800</v>
      </c>
      <c r="J36" s="648"/>
      <c r="K36" s="640">
        <f>SUM(M36/M45)</f>
        <v>0.02131565570142421</v>
      </c>
      <c r="L36" s="641" t="s">
        <v>320</v>
      </c>
      <c r="M36" s="642">
        <v>780018525</v>
      </c>
      <c r="N36" s="618">
        <f t="shared" si="5"/>
        <v>0</v>
      </c>
      <c r="O36" s="643">
        <v>0.015271309367229246</v>
      </c>
      <c r="P36" s="601" t="s">
        <v>321</v>
      </c>
      <c r="Q36" s="603"/>
      <c r="R36" s="601" t="s">
        <v>318</v>
      </c>
      <c r="S36" s="620">
        <v>1607687982</v>
      </c>
      <c r="U36" s="125">
        <v>0.0081</v>
      </c>
      <c r="V36" s="555">
        <f t="shared" si="6"/>
        <v>570709800</v>
      </c>
      <c r="W36" s="640"/>
      <c r="X36" s="1009"/>
      <c r="Y36" s="1009"/>
      <c r="AE36" s="261" t="s">
        <v>383</v>
      </c>
      <c r="AF36" s="260">
        <v>0</v>
      </c>
      <c r="AG36" s="125">
        <f t="shared" si="0"/>
        <v>0</v>
      </c>
      <c r="AI36" s="601" t="s">
        <v>382</v>
      </c>
      <c r="AJ36" s="555">
        <v>11019041</v>
      </c>
      <c r="AK36" s="125">
        <f t="shared" si="3"/>
        <v>8.695405730788602E-05</v>
      </c>
    </row>
    <row r="37" spans="1:37" s="601" customFormat="1" ht="15.75" customHeight="1">
      <c r="A37" s="510"/>
      <c r="B37" s="511"/>
      <c r="C37" s="857"/>
      <c r="D37" s="857"/>
      <c r="E37" s="854"/>
      <c r="F37" s="666" t="s">
        <v>388</v>
      </c>
      <c r="G37" s="122">
        <f t="shared" si="4"/>
        <v>8807250</v>
      </c>
      <c r="H37" s="522">
        <v>12</v>
      </c>
      <c r="I37" s="112">
        <v>105687000</v>
      </c>
      <c r="J37" s="648"/>
      <c r="K37" s="640">
        <f>SUM(M37/M45)</f>
        <v>0.03286968971002594</v>
      </c>
      <c r="L37" s="641" t="s">
        <v>32</v>
      </c>
      <c r="M37" s="642">
        <v>1202823279</v>
      </c>
      <c r="N37" s="618">
        <f t="shared" si="5"/>
        <v>0</v>
      </c>
      <c r="O37" s="643">
        <v>0.031705026383007415</v>
      </c>
      <c r="P37" s="601" t="s">
        <v>322</v>
      </c>
      <c r="Q37" s="603">
        <v>16545163</v>
      </c>
      <c r="R37" s="601" t="s">
        <v>321</v>
      </c>
      <c r="S37" s="620">
        <v>3730793932</v>
      </c>
      <c r="U37" s="125">
        <v>0.0015</v>
      </c>
      <c r="V37" s="555">
        <f t="shared" si="6"/>
        <v>105687000</v>
      </c>
      <c r="W37" s="640"/>
      <c r="X37" s="1009"/>
      <c r="Y37" s="1009"/>
      <c r="AE37" s="262" t="s">
        <v>384</v>
      </c>
      <c r="AF37" s="260">
        <v>0</v>
      </c>
      <c r="AG37" s="125">
        <f t="shared" si="0"/>
        <v>0</v>
      </c>
      <c r="AI37" s="601" t="s">
        <v>383</v>
      </c>
      <c r="AJ37" s="555">
        <v>-1634367</v>
      </c>
      <c r="AK37" s="125">
        <f t="shared" si="3"/>
        <v>-1.2897206007321123E-05</v>
      </c>
    </row>
    <row r="38" spans="1:37" s="601" customFormat="1" ht="15.75" customHeight="1" thickBot="1">
      <c r="A38" s="510"/>
      <c r="B38" s="511"/>
      <c r="C38" s="857"/>
      <c r="D38" s="857"/>
      <c r="E38" s="854"/>
      <c r="F38" s="666" t="s">
        <v>34</v>
      </c>
      <c r="G38" s="122">
        <f t="shared" si="4"/>
        <v>12330150</v>
      </c>
      <c r="H38" s="522">
        <v>12</v>
      </c>
      <c r="I38" s="112">
        <v>147961800</v>
      </c>
      <c r="J38" s="648"/>
      <c r="K38" s="640">
        <f>SUM(M38/M45)</f>
        <v>0.00892420472570473</v>
      </c>
      <c r="L38" s="641" t="s">
        <v>54</v>
      </c>
      <c r="M38" s="642">
        <v>326569593</v>
      </c>
      <c r="N38" s="618">
        <f t="shared" si="5"/>
        <v>0</v>
      </c>
      <c r="O38" s="643">
        <v>0.006911248144078024</v>
      </c>
      <c r="P38" s="601" t="s">
        <v>323</v>
      </c>
      <c r="R38" s="601" t="s">
        <v>322</v>
      </c>
      <c r="S38" s="620">
        <v>354126303</v>
      </c>
      <c r="U38" s="125">
        <v>0.0021</v>
      </c>
      <c r="V38" s="555">
        <f t="shared" si="6"/>
        <v>147961800</v>
      </c>
      <c r="W38" s="640"/>
      <c r="X38" s="1009"/>
      <c r="Y38" s="1009"/>
      <c r="AE38" s="263" t="s">
        <v>386</v>
      </c>
      <c r="AF38" s="264">
        <v>63941615338.000015</v>
      </c>
      <c r="AI38" s="601" t="s">
        <v>384</v>
      </c>
      <c r="AJ38" s="555">
        <v>0</v>
      </c>
      <c r="AK38" s="125">
        <f t="shared" si="3"/>
        <v>0</v>
      </c>
    </row>
    <row r="39" spans="1:36" s="601" customFormat="1" ht="15.75" customHeight="1" thickTop="1">
      <c r="A39" s="510"/>
      <c r="B39" s="511"/>
      <c r="C39" s="857"/>
      <c r="D39" s="857"/>
      <c r="E39" s="854"/>
      <c r="F39" s="666" t="s">
        <v>36</v>
      </c>
      <c r="G39" s="122">
        <f t="shared" si="4"/>
        <v>587150</v>
      </c>
      <c r="H39" s="522">
        <v>12</v>
      </c>
      <c r="I39" s="112">
        <v>7045800</v>
      </c>
      <c r="J39" s="648"/>
      <c r="K39" s="640">
        <f>SUM(M39/M45)</f>
        <v>0.04040109356861682</v>
      </c>
      <c r="L39" s="641" t="s">
        <v>41</v>
      </c>
      <c r="M39" s="642">
        <v>1478425147</v>
      </c>
      <c r="N39" s="618">
        <f t="shared" si="5"/>
        <v>0</v>
      </c>
      <c r="O39" s="643">
        <v>0.03605143410516609</v>
      </c>
      <c r="P39" s="601" t="s">
        <v>324</v>
      </c>
      <c r="Q39" s="603"/>
      <c r="R39" s="601" t="s">
        <v>323</v>
      </c>
      <c r="U39" s="125">
        <v>0.0001</v>
      </c>
      <c r="V39" s="555">
        <f t="shared" si="6"/>
        <v>7045800</v>
      </c>
      <c r="W39" s="640"/>
      <c r="X39" s="1009"/>
      <c r="Y39" s="1009"/>
      <c r="AI39" s="601" t="s">
        <v>386</v>
      </c>
      <c r="AJ39" s="555">
        <v>126722562939</v>
      </c>
    </row>
    <row r="40" spans="1:36" s="601" customFormat="1" ht="15.75" customHeight="1">
      <c r="A40" s="510"/>
      <c r="B40" s="511"/>
      <c r="C40" s="857"/>
      <c r="D40" s="857"/>
      <c r="E40" s="854"/>
      <c r="F40" s="666" t="s">
        <v>39</v>
      </c>
      <c r="G40" s="122">
        <f t="shared" si="4"/>
        <v>190236600</v>
      </c>
      <c r="H40" s="522">
        <v>12</v>
      </c>
      <c r="I40" s="112">
        <v>2282839200</v>
      </c>
      <c r="J40" s="648"/>
      <c r="K40" s="640">
        <f>SUM(M40/M45)</f>
        <v>0.012894173886060265</v>
      </c>
      <c r="L40" s="641" t="s">
        <v>55</v>
      </c>
      <c r="M40" s="642">
        <v>471845419</v>
      </c>
      <c r="N40" s="618">
        <f t="shared" si="5"/>
        <v>0</v>
      </c>
      <c r="O40" s="643">
        <v>0.011988767994942867</v>
      </c>
      <c r="P40" s="601" t="s">
        <v>326</v>
      </c>
      <c r="Q40" s="603">
        <v>9100</v>
      </c>
      <c r="R40" s="601" t="s">
        <v>324</v>
      </c>
      <c r="U40" s="125">
        <v>0.0324</v>
      </c>
      <c r="V40" s="555">
        <f t="shared" si="6"/>
        <v>2282839200</v>
      </c>
      <c r="W40" s="640"/>
      <c r="X40" s="1009"/>
      <c r="Y40" s="1009"/>
      <c r="AJ40" s="555"/>
    </row>
    <row r="41" spans="1:36" s="601" customFormat="1" ht="15.75" customHeight="1">
      <c r="A41" s="510"/>
      <c r="B41" s="511"/>
      <c r="C41" s="857"/>
      <c r="D41" s="857"/>
      <c r="E41" s="854"/>
      <c r="F41" s="666" t="s">
        <v>41</v>
      </c>
      <c r="G41" s="122">
        <f t="shared" si="4"/>
        <v>110384200</v>
      </c>
      <c r="H41" s="522">
        <v>12</v>
      </c>
      <c r="I41" s="112">
        <v>1324610400</v>
      </c>
      <c r="J41" s="648"/>
      <c r="K41" s="640">
        <f>SUM(M41/M45)</f>
        <v>0.03717864497844758</v>
      </c>
      <c r="L41" s="641" t="s">
        <v>56</v>
      </c>
      <c r="M41" s="642">
        <v>1360503858</v>
      </c>
      <c r="N41" s="618">
        <f t="shared" si="5"/>
        <v>0</v>
      </c>
      <c r="O41" s="643">
        <v>0.04631049711319627</v>
      </c>
      <c r="P41" s="601" t="s">
        <v>328</v>
      </c>
      <c r="R41" s="601" t="s">
        <v>326</v>
      </c>
      <c r="S41" s="620">
        <v>139133755</v>
      </c>
      <c r="U41" s="125">
        <v>0.0188</v>
      </c>
      <c r="V41" s="555">
        <f t="shared" si="6"/>
        <v>1324610400</v>
      </c>
      <c r="W41" s="640"/>
      <c r="X41" s="1009"/>
      <c r="Y41" s="1009"/>
      <c r="AJ41" s="555"/>
    </row>
    <row r="42" spans="1:36" s="601" customFormat="1" ht="15.75" customHeight="1">
      <c r="A42" s="510"/>
      <c r="B42" s="511"/>
      <c r="C42" s="854"/>
      <c r="D42" s="854"/>
      <c r="E42" s="854"/>
      <c r="F42" s="666" t="s">
        <v>57</v>
      </c>
      <c r="G42" s="122">
        <f t="shared" si="4"/>
        <v>8807250</v>
      </c>
      <c r="H42" s="522">
        <v>12</v>
      </c>
      <c r="I42" s="112">
        <v>105687000</v>
      </c>
      <c r="J42" s="648"/>
      <c r="K42" s="640">
        <f>SUM(M42/M45)</f>
        <v>0.011927840353546706</v>
      </c>
      <c r="L42" s="641" t="s">
        <v>58</v>
      </c>
      <c r="M42" s="642">
        <v>436483708</v>
      </c>
      <c r="N42" s="618">
        <f t="shared" si="5"/>
        <v>0</v>
      </c>
      <c r="O42" s="643">
        <v>0.009145855859892143</v>
      </c>
      <c r="P42" s="601" t="s">
        <v>329</v>
      </c>
      <c r="R42" s="601" t="s">
        <v>328</v>
      </c>
      <c r="U42" s="125">
        <v>0.0015</v>
      </c>
      <c r="V42" s="555">
        <f t="shared" si="6"/>
        <v>105687000</v>
      </c>
      <c r="W42" s="640"/>
      <c r="X42" s="1009"/>
      <c r="Y42" s="1009"/>
      <c r="AJ42" s="555"/>
    </row>
    <row r="43" spans="1:36" s="601" customFormat="1" ht="15.75" customHeight="1">
      <c r="A43" s="510"/>
      <c r="B43" s="511"/>
      <c r="C43" s="854"/>
      <c r="D43" s="854"/>
      <c r="E43" s="854"/>
      <c r="F43" s="666" t="s">
        <v>322</v>
      </c>
      <c r="G43" s="122">
        <f t="shared" si="4"/>
        <v>221355550</v>
      </c>
      <c r="H43" s="522">
        <v>12</v>
      </c>
      <c r="I43" s="112">
        <v>2656266600</v>
      </c>
      <c r="J43" s="648"/>
      <c r="K43" s="640">
        <f>SUM(M43/M45)</f>
        <v>0.1578946699208779</v>
      </c>
      <c r="L43" s="641" t="s">
        <v>45</v>
      </c>
      <c r="M43" s="642">
        <v>5777948812</v>
      </c>
      <c r="N43" s="618">
        <f t="shared" si="5"/>
        <v>0</v>
      </c>
      <c r="O43" s="643">
        <v>0.13525975357482328</v>
      </c>
      <c r="P43" s="601" t="s">
        <v>43</v>
      </c>
      <c r="R43" s="601" t="s">
        <v>329</v>
      </c>
      <c r="U43" s="125">
        <v>0.0377</v>
      </c>
      <c r="V43" s="555">
        <f t="shared" si="6"/>
        <v>2656266600</v>
      </c>
      <c r="W43" s="640"/>
      <c r="X43" s="1009"/>
      <c r="Y43" s="1009"/>
      <c r="AJ43" s="555"/>
    </row>
    <row r="44" spans="1:36" s="601" customFormat="1" ht="15.75" customHeight="1">
      <c r="A44" s="510"/>
      <c r="B44" s="511"/>
      <c r="C44" s="854"/>
      <c r="D44" s="854"/>
      <c r="E44" s="854"/>
      <c r="F44" s="666" t="s">
        <v>59</v>
      </c>
      <c r="G44" s="122">
        <f t="shared" si="4"/>
        <v>503774700</v>
      </c>
      <c r="H44" s="522">
        <v>12</v>
      </c>
      <c r="I44" s="112">
        <v>6045296400</v>
      </c>
      <c r="J44" s="648"/>
      <c r="K44" s="640">
        <f>SUM(M44/M45)</f>
        <v>0.026047557205716942</v>
      </c>
      <c r="L44" s="641" t="s">
        <v>333</v>
      </c>
      <c r="M44" s="672">
        <v>953176268</v>
      </c>
      <c r="N44" s="618">
        <f t="shared" si="5"/>
        <v>0</v>
      </c>
      <c r="O44" s="643">
        <v>0.03477778058697117</v>
      </c>
      <c r="P44" s="601" t="s">
        <v>334</v>
      </c>
      <c r="R44" s="601" t="s">
        <v>43</v>
      </c>
      <c r="U44" s="125">
        <v>0.0858</v>
      </c>
      <c r="V44" s="555">
        <f t="shared" si="6"/>
        <v>6045296400</v>
      </c>
      <c r="W44" s="640"/>
      <c r="X44" s="1009"/>
      <c r="Y44" s="1009"/>
      <c r="AJ44" s="555"/>
    </row>
    <row r="45" spans="1:36" s="601" customFormat="1" ht="15.75" customHeight="1">
      <c r="A45" s="514"/>
      <c r="B45" s="515" t="s">
        <v>20</v>
      </c>
      <c r="C45" s="855"/>
      <c r="D45" s="855"/>
      <c r="E45" s="855" t="s">
        <v>20</v>
      </c>
      <c r="F45" s="527" t="s">
        <v>60</v>
      </c>
      <c r="G45" s="520"/>
      <c r="H45" s="520"/>
      <c r="I45" s="712">
        <f>+'20년 추경수입(대전)'!H10</f>
        <v>70458000000</v>
      </c>
      <c r="J45" s="529">
        <v>52504996000</v>
      </c>
      <c r="K45" s="640">
        <f>SUM(K28:K44)</f>
        <v>1</v>
      </c>
      <c r="L45" s="632" t="s">
        <v>49</v>
      </c>
      <c r="M45" s="657">
        <f>SUM(M28:M44)</f>
        <v>36593691319</v>
      </c>
      <c r="N45" s="658">
        <f>SUM(N28:N44)</f>
        <v>0</v>
      </c>
      <c r="O45" s="643">
        <v>1</v>
      </c>
      <c r="P45" s="601" t="s">
        <v>336</v>
      </c>
      <c r="Q45" s="620">
        <v>858552198</v>
      </c>
      <c r="R45" s="601" t="s">
        <v>337</v>
      </c>
      <c r="S45" s="620">
        <v>731452</v>
      </c>
      <c r="V45" s="555">
        <f>SUM(V28:V44)</f>
        <v>70458000000</v>
      </c>
      <c r="X45" s="1009"/>
      <c r="Y45" s="1009"/>
      <c r="AJ45" s="555"/>
    </row>
    <row r="46" spans="1:36" s="601" customFormat="1" ht="15.75" customHeight="1">
      <c r="A46" s="502" t="s">
        <v>61</v>
      </c>
      <c r="B46" s="503"/>
      <c r="C46" s="852">
        <f>SUM(C47)</f>
        <v>9360000000</v>
      </c>
      <c r="D46" s="852">
        <f>SUM(D47)</f>
        <v>9360000000</v>
      </c>
      <c r="E46" s="852">
        <f>C46-D46</f>
        <v>0</v>
      </c>
      <c r="F46" s="505"/>
      <c r="G46" s="530"/>
      <c r="H46" s="530"/>
      <c r="I46" s="531"/>
      <c r="J46" s="522"/>
      <c r="L46" s="620"/>
      <c r="M46" s="632" t="s">
        <v>62</v>
      </c>
      <c r="N46" s="633"/>
      <c r="O46" s="620"/>
      <c r="P46" s="601" t="s">
        <v>63</v>
      </c>
      <c r="Q46" s="620">
        <f>136126680</f>
        <v>136126680</v>
      </c>
      <c r="R46" s="601" t="s">
        <v>64</v>
      </c>
      <c r="S46" s="620">
        <v>240000</v>
      </c>
      <c r="AJ46" s="555"/>
    </row>
    <row r="47" spans="1:36" s="601" customFormat="1" ht="15.75" customHeight="1">
      <c r="A47" s="510"/>
      <c r="B47" s="507" t="s">
        <v>65</v>
      </c>
      <c r="C47" s="853">
        <f>+I50+'2020년추경예산안수입 (의정부)'!C13</f>
        <v>9360000000</v>
      </c>
      <c r="D47" s="853">
        <f>+'2020년추경예산안수입 (의정부)'!D12+9360000000</f>
        <v>9360000000</v>
      </c>
      <c r="E47" s="853">
        <f>C47-D47</f>
        <v>0</v>
      </c>
      <c r="F47" s="532" t="s">
        <v>354</v>
      </c>
      <c r="G47" s="106">
        <f>I47/H47</f>
        <v>693333333.3333334</v>
      </c>
      <c r="H47" s="509">
        <v>12</v>
      </c>
      <c r="I47" s="107">
        <v>8320000000</v>
      </c>
      <c r="J47" s="648"/>
      <c r="K47" s="625"/>
      <c r="L47" s="523"/>
      <c r="M47" s="522"/>
      <c r="N47" s="522"/>
      <c r="O47" s="620"/>
      <c r="P47" s="601" t="s">
        <v>66</v>
      </c>
      <c r="Q47" s="603">
        <v>82316600</v>
      </c>
      <c r="S47" s="620">
        <f>SUM(S9:S46)</f>
        <v>8879877164</v>
      </c>
      <c r="U47" s="620"/>
      <c r="AJ47" s="555"/>
    </row>
    <row r="48" spans="1:36" s="601" customFormat="1" ht="15.75" customHeight="1">
      <c r="A48" s="510"/>
      <c r="B48" s="511"/>
      <c r="C48" s="857"/>
      <c r="D48" s="857"/>
      <c r="E48" s="857"/>
      <c r="F48" s="675" t="s">
        <v>67</v>
      </c>
      <c r="G48" s="108">
        <f>I48/H48</f>
        <v>3333333.3333333335</v>
      </c>
      <c r="H48" s="648">
        <v>12</v>
      </c>
      <c r="I48" s="662">
        <v>40000000</v>
      </c>
      <c r="J48" s="648"/>
      <c r="K48" s="625"/>
      <c r="L48" s="522"/>
      <c r="M48" s="522"/>
      <c r="N48" s="522"/>
      <c r="O48" s="620"/>
      <c r="P48" s="601" t="s">
        <v>46</v>
      </c>
      <c r="Q48" s="603">
        <v>73016132</v>
      </c>
      <c r="S48" s="620"/>
      <c r="AJ48" s="555"/>
    </row>
    <row r="49" spans="1:36" s="601" customFormat="1" ht="15.75" customHeight="1">
      <c r="A49" s="510"/>
      <c r="B49" s="511"/>
      <c r="C49" s="857"/>
      <c r="D49" s="857"/>
      <c r="E49" s="854"/>
      <c r="F49" s="675" t="s">
        <v>68</v>
      </c>
      <c r="G49" s="108">
        <f>I49/H49</f>
        <v>83333333.33333333</v>
      </c>
      <c r="H49" s="648">
        <v>12</v>
      </c>
      <c r="I49" s="662">
        <v>1000000000</v>
      </c>
      <c r="J49" s="648"/>
      <c r="K49" s="625"/>
      <c r="L49" s="522"/>
      <c r="M49" s="522"/>
      <c r="N49" s="522"/>
      <c r="O49" s="620"/>
      <c r="Q49" s="603">
        <f>SUM(Q9:Q48)</f>
        <v>2134430369</v>
      </c>
      <c r="S49" s="620"/>
      <c r="AJ49" s="555"/>
    </row>
    <row r="50" spans="1:36" s="601" customFormat="1" ht="15.75" customHeight="1">
      <c r="A50" s="514"/>
      <c r="B50" s="515"/>
      <c r="C50" s="856"/>
      <c r="D50" s="856"/>
      <c r="E50" s="855"/>
      <c r="F50" s="517" t="s">
        <v>69</v>
      </c>
      <c r="G50" s="654"/>
      <c r="H50" s="654"/>
      <c r="I50" s="110">
        <f>SUM(I47:I49)</f>
        <v>9360000000</v>
      </c>
      <c r="J50" s="656"/>
      <c r="K50" s="625"/>
      <c r="L50" s="620"/>
      <c r="M50" s="620"/>
      <c r="N50" s="620"/>
      <c r="O50" s="620"/>
      <c r="Q50" s="603"/>
      <c r="S50" s="620"/>
      <c r="AJ50" s="555"/>
    </row>
    <row r="51" spans="1:36" s="601" customFormat="1" ht="15.75" customHeight="1">
      <c r="A51" s="533" t="s">
        <v>70</v>
      </c>
      <c r="B51" s="534"/>
      <c r="C51" s="860">
        <f>SUM(C52+C54)</f>
        <v>3145000000</v>
      </c>
      <c r="D51" s="860">
        <f>SUM(D52+D54)</f>
        <v>2045000000</v>
      </c>
      <c r="E51" s="860">
        <f>C51-D51</f>
        <v>1100000000</v>
      </c>
      <c r="F51" s="993"/>
      <c r="G51" s="993"/>
      <c r="H51" s="993"/>
      <c r="I51" s="994"/>
      <c r="J51" s="680"/>
      <c r="K51" s="625"/>
      <c r="L51" s="620"/>
      <c r="M51" s="620"/>
      <c r="N51" s="620"/>
      <c r="O51" s="620"/>
      <c r="Q51" s="603"/>
      <c r="S51" s="620"/>
      <c r="U51" s="626"/>
      <c r="AJ51" s="555"/>
    </row>
    <row r="52" spans="1:36" s="601" customFormat="1" ht="15.75" customHeight="1">
      <c r="A52" s="502" t="s">
        <v>71</v>
      </c>
      <c r="B52" s="503"/>
      <c r="C52" s="852">
        <f>SUM(C53)</f>
        <v>0</v>
      </c>
      <c r="D52" s="852">
        <f>SUM(D53)</f>
        <v>0</v>
      </c>
      <c r="E52" s="852">
        <f>C52-D52</f>
        <v>0</v>
      </c>
      <c r="F52" s="993"/>
      <c r="G52" s="993"/>
      <c r="H52" s="993"/>
      <c r="I52" s="994"/>
      <c r="J52" s="680"/>
      <c r="K52" s="625"/>
      <c r="L52" s="620"/>
      <c r="M52" s="620"/>
      <c r="N52" s="620"/>
      <c r="O52" s="620"/>
      <c r="P52" s="620"/>
      <c r="R52" s="603"/>
      <c r="T52" s="620"/>
      <c r="AJ52" s="555"/>
    </row>
    <row r="53" spans="1:36" s="601" customFormat="1" ht="29.25" customHeight="1">
      <c r="A53" s="502"/>
      <c r="B53" s="503" t="s">
        <v>72</v>
      </c>
      <c r="C53" s="852">
        <f>+'2020년추경예산안수입 (의정부)'!C16</f>
        <v>0</v>
      </c>
      <c r="D53" s="852">
        <f>+'2020년추경예산안수입 (의정부)'!D16</f>
        <v>0</v>
      </c>
      <c r="E53" s="852">
        <f>C53-D53</f>
        <v>0</v>
      </c>
      <c r="F53" s="995"/>
      <c r="G53" s="996"/>
      <c r="H53" s="996"/>
      <c r="I53" s="997"/>
      <c r="J53" s="681"/>
      <c r="L53" s="620"/>
      <c r="M53" s="620"/>
      <c r="N53" s="620"/>
      <c r="O53" s="620"/>
      <c r="P53" s="620"/>
      <c r="R53" s="603"/>
      <c r="T53" s="620"/>
      <c r="AJ53" s="555"/>
    </row>
    <row r="54" spans="1:36" s="601" customFormat="1" ht="15.75" customHeight="1">
      <c r="A54" s="502" t="s">
        <v>73</v>
      </c>
      <c r="B54" s="503"/>
      <c r="C54" s="852">
        <f>SUM(C55:C63)</f>
        <v>3145000000</v>
      </c>
      <c r="D54" s="852">
        <f>SUM(D55:D63)</f>
        <v>2045000000</v>
      </c>
      <c r="E54" s="852">
        <f>C54-D54</f>
        <v>1100000000</v>
      </c>
      <c r="F54" s="505"/>
      <c r="G54" s="530"/>
      <c r="H54" s="530"/>
      <c r="I54" s="531"/>
      <c r="J54" s="522"/>
      <c r="L54" s="620"/>
      <c r="M54" s="620"/>
      <c r="N54" s="620"/>
      <c r="O54" s="620"/>
      <c r="P54" s="620"/>
      <c r="R54" s="603"/>
      <c r="T54" s="620"/>
      <c r="AJ54" s="555"/>
    </row>
    <row r="55" spans="1:36" s="601" customFormat="1" ht="15.75" customHeight="1">
      <c r="A55" s="506"/>
      <c r="B55" s="507" t="s">
        <v>74</v>
      </c>
      <c r="C55" s="853">
        <f>+H62+'2020년추경예산안수입 (의정부)'!C18</f>
        <v>3145000000</v>
      </c>
      <c r="D55" s="853">
        <f>+'2020년추경예산안수입 (의정부)'!D18+2045000000</f>
        <v>2045000000</v>
      </c>
      <c r="E55" s="853">
        <f>C55-D55</f>
        <v>1100000000</v>
      </c>
      <c r="F55" s="536" t="s">
        <v>344</v>
      </c>
      <c r="G55" s="523"/>
      <c r="H55" s="121"/>
      <c r="I55" s="111">
        <v>1700000000</v>
      </c>
      <c r="J55" s="522"/>
      <c r="K55" s="601">
        <v>961530</v>
      </c>
      <c r="L55" s="620"/>
      <c r="M55" s="620"/>
      <c r="N55" s="620"/>
      <c r="O55" s="620"/>
      <c r="P55" s="620"/>
      <c r="R55" s="603"/>
      <c r="T55" s="620"/>
      <c r="AJ55" s="555"/>
    </row>
    <row r="56" spans="1:36" s="601" customFormat="1" ht="15.75" customHeight="1">
      <c r="A56" s="510"/>
      <c r="B56" s="511"/>
      <c r="C56" s="857"/>
      <c r="D56" s="857"/>
      <c r="E56" s="857"/>
      <c r="F56" s="536" t="s">
        <v>343</v>
      </c>
      <c r="G56" s="522"/>
      <c r="H56" s="122"/>
      <c r="I56" s="112">
        <v>55000000</v>
      </c>
      <c r="J56" s="522"/>
      <c r="L56" s="620"/>
      <c r="M56" s="620"/>
      <c r="N56" s="620"/>
      <c r="O56" s="620"/>
      <c r="P56" s="620"/>
      <c r="R56" s="603"/>
      <c r="T56" s="620"/>
      <c r="AJ56" s="555"/>
    </row>
    <row r="57" spans="1:36" s="601" customFormat="1" ht="15.75" customHeight="1">
      <c r="A57" s="510"/>
      <c r="B57" s="511"/>
      <c r="C57" s="857"/>
      <c r="D57" s="857"/>
      <c r="E57" s="857"/>
      <c r="F57" s="536" t="s">
        <v>345</v>
      </c>
      <c r="G57" s="522"/>
      <c r="H57" s="122"/>
      <c r="I57" s="112">
        <v>100000000</v>
      </c>
      <c r="J57" s="522"/>
      <c r="L57" s="620"/>
      <c r="M57" s="620"/>
      <c r="N57" s="620"/>
      <c r="O57" s="620"/>
      <c r="P57" s="620"/>
      <c r="R57" s="603"/>
      <c r="T57" s="620"/>
      <c r="AJ57" s="555"/>
    </row>
    <row r="58" spans="1:36" s="601" customFormat="1" ht="15.75" customHeight="1">
      <c r="A58" s="510"/>
      <c r="B58" s="511"/>
      <c r="C58" s="857"/>
      <c r="D58" s="857"/>
      <c r="E58" s="857"/>
      <c r="F58" s="536" t="s">
        <v>347</v>
      </c>
      <c r="G58" s="522"/>
      <c r="H58" s="122"/>
      <c r="I58" s="112">
        <v>90000000</v>
      </c>
      <c r="J58" s="522"/>
      <c r="L58" s="620"/>
      <c r="M58" s="620"/>
      <c r="N58" s="620"/>
      <c r="O58" s="620"/>
      <c r="P58" s="620"/>
      <c r="R58" s="603"/>
      <c r="T58" s="620"/>
      <c r="AJ58" s="555"/>
    </row>
    <row r="59" spans="1:36" s="601" customFormat="1" ht="15.75" customHeight="1">
      <c r="A59" s="510"/>
      <c r="B59" s="511"/>
      <c r="C59" s="857"/>
      <c r="D59" s="857"/>
      <c r="E59" s="857"/>
      <c r="F59" s="536" t="s">
        <v>346</v>
      </c>
      <c r="G59" s="522"/>
      <c r="H59" s="122"/>
      <c r="I59" s="112">
        <v>70000000</v>
      </c>
      <c r="J59" s="522"/>
      <c r="L59" s="620"/>
      <c r="M59" s="620"/>
      <c r="N59" s="620"/>
      <c r="O59" s="620"/>
      <c r="P59" s="620"/>
      <c r="R59" s="603"/>
      <c r="T59" s="620"/>
      <c r="AJ59" s="555"/>
    </row>
    <row r="60" spans="1:36" s="601" customFormat="1" ht="15.75" customHeight="1">
      <c r="A60" s="510"/>
      <c r="B60" s="511"/>
      <c r="C60" s="857"/>
      <c r="D60" s="857"/>
      <c r="E60" s="857"/>
      <c r="F60" s="536" t="s">
        <v>818</v>
      </c>
      <c r="G60" s="522"/>
      <c r="H60" s="122"/>
      <c r="I60" s="112">
        <v>1100000000</v>
      </c>
      <c r="J60" s="522"/>
      <c r="L60" s="620"/>
      <c r="M60" s="620"/>
      <c r="N60" s="620"/>
      <c r="O60" s="620"/>
      <c r="P60" s="620"/>
      <c r="R60" s="603"/>
      <c r="T60" s="620"/>
      <c r="AJ60" s="555"/>
    </row>
    <row r="61" spans="1:36" s="601" customFormat="1" ht="15.75" customHeight="1">
      <c r="A61" s="510"/>
      <c r="B61" s="511"/>
      <c r="C61" s="857"/>
      <c r="D61" s="857"/>
      <c r="E61" s="857"/>
      <c r="F61" s="536" t="s">
        <v>46</v>
      </c>
      <c r="G61" s="522"/>
      <c r="H61" s="122"/>
      <c r="I61" s="112">
        <v>30000000</v>
      </c>
      <c r="J61" s="522"/>
      <c r="L61" s="620"/>
      <c r="M61" s="620"/>
      <c r="N61" s="620"/>
      <c r="O61" s="620"/>
      <c r="P61" s="620"/>
      <c r="R61" s="603"/>
      <c r="T61" s="620"/>
      <c r="U61" s="626"/>
      <c r="AJ61" s="555"/>
    </row>
    <row r="62" spans="1:36" s="601" customFormat="1" ht="15.75" customHeight="1">
      <c r="A62" s="510"/>
      <c r="B62" s="515"/>
      <c r="C62" s="856"/>
      <c r="D62" s="857"/>
      <c r="E62" s="856"/>
      <c r="F62" s="527" t="s">
        <v>75</v>
      </c>
      <c r="G62" s="520"/>
      <c r="H62" s="998">
        <f>+'20년 추경수입(대전)'!H19</f>
        <v>3145000000</v>
      </c>
      <c r="I62" s="999"/>
      <c r="J62" s="529"/>
      <c r="K62" s="626"/>
      <c r="L62" s="620"/>
      <c r="M62" s="620"/>
      <c r="N62" s="620"/>
      <c r="O62" s="620"/>
      <c r="P62" s="620"/>
      <c r="R62" s="603"/>
      <c r="T62" s="620"/>
      <c r="U62" s="626"/>
      <c r="AJ62" s="555"/>
    </row>
    <row r="63" spans="1:36" s="601" customFormat="1" ht="15.75" customHeight="1">
      <c r="A63" s="514"/>
      <c r="B63" s="515" t="s">
        <v>76</v>
      </c>
      <c r="C63" s="856">
        <f>+'2020년추경예산안수입 (의정부)'!C19</f>
        <v>0</v>
      </c>
      <c r="D63" s="852">
        <f>+'2020년추경예산안수입 (의정부)'!D19</f>
        <v>0</v>
      </c>
      <c r="E63" s="856">
        <v>0</v>
      </c>
      <c r="F63" s="519"/>
      <c r="G63" s="520"/>
      <c r="H63" s="520"/>
      <c r="I63" s="521"/>
      <c r="J63" s="522"/>
      <c r="L63" s="620"/>
      <c r="M63" s="620"/>
      <c r="N63" s="620"/>
      <c r="O63" s="620"/>
      <c r="P63" s="620"/>
      <c r="R63" s="603"/>
      <c r="T63" s="620"/>
      <c r="AJ63" s="555"/>
    </row>
    <row r="64" spans="1:36" s="601" customFormat="1" ht="15.75" customHeight="1">
      <c r="A64" s="533" t="s">
        <v>77</v>
      </c>
      <c r="B64" s="534"/>
      <c r="C64" s="860">
        <f>C65+C68+C71</f>
        <v>6598736412</v>
      </c>
      <c r="D64" s="855">
        <f>D65+D68+D71</f>
        <v>7972000000</v>
      </c>
      <c r="E64" s="860">
        <f>C64-D64</f>
        <v>-1373263588</v>
      </c>
      <c r="F64" s="505"/>
      <c r="G64" s="530"/>
      <c r="H64" s="530"/>
      <c r="I64" s="531"/>
      <c r="J64" s="522"/>
      <c r="L64" s="620"/>
      <c r="M64" s="620"/>
      <c r="N64" s="620"/>
      <c r="O64" s="620"/>
      <c r="P64" s="620"/>
      <c r="R64" s="603"/>
      <c r="T64" s="620"/>
      <c r="U64" s="626"/>
      <c r="AJ64" s="555"/>
    </row>
    <row r="65" spans="1:36" s="601" customFormat="1" ht="15.75" customHeight="1">
      <c r="A65" s="502" t="s">
        <v>78</v>
      </c>
      <c r="B65" s="503"/>
      <c r="C65" s="852">
        <f>SUM(C66)</f>
        <v>1998736412</v>
      </c>
      <c r="D65" s="852">
        <f>SUM(D66)</f>
        <v>3372000000</v>
      </c>
      <c r="E65" s="852">
        <v>0</v>
      </c>
      <c r="F65" s="519"/>
      <c r="G65" s="520"/>
      <c r="H65" s="520"/>
      <c r="I65" s="521"/>
      <c r="J65" s="522"/>
      <c r="L65" s="620"/>
      <c r="M65" s="620"/>
      <c r="N65" s="620"/>
      <c r="O65" s="620"/>
      <c r="P65" s="620"/>
      <c r="R65" s="603"/>
      <c r="T65" s="620"/>
      <c r="AJ65" s="555"/>
    </row>
    <row r="66" spans="1:36" s="601" customFormat="1" ht="15.75" customHeight="1">
      <c r="A66" s="1000"/>
      <c r="B66" s="1002" t="s">
        <v>79</v>
      </c>
      <c r="C66" s="1004">
        <f>+I66+'2020년추경예산안수입 (의정부)'!C22</f>
        <v>1998736412</v>
      </c>
      <c r="D66" s="1004">
        <f>+'2020년추경예산안수입 (의정부)'!D22+3372000000</f>
        <v>3372000000</v>
      </c>
      <c r="E66" s="1004">
        <f>C66-D66</f>
        <v>-1373263588</v>
      </c>
      <c r="F66" s="543" t="s">
        <v>1012</v>
      </c>
      <c r="G66" s="522"/>
      <c r="H66" s="522" t="s">
        <v>1013</v>
      </c>
      <c r="I66" s="111">
        <f>+'20년 추경수입(대전)'!H33</f>
        <v>1972000000</v>
      </c>
      <c r="J66" s="522"/>
      <c r="L66" s="620"/>
      <c r="M66" s="620"/>
      <c r="N66" s="620"/>
      <c r="O66" s="620"/>
      <c r="P66" s="620"/>
      <c r="R66" s="603"/>
      <c r="T66" s="620"/>
      <c r="AJ66" s="555"/>
    </row>
    <row r="67" spans="1:36" s="601" customFormat="1" ht="17.25" customHeight="1" thickBot="1">
      <c r="A67" s="1001"/>
      <c r="B67" s="1003"/>
      <c r="C67" s="1005"/>
      <c r="D67" s="1005"/>
      <c r="E67" s="1005"/>
      <c r="F67" s="812"/>
      <c r="G67" s="132"/>
      <c r="H67" s="132" t="s">
        <v>1014</v>
      </c>
      <c r="I67" s="133">
        <v>26736412</v>
      </c>
      <c r="J67" s="522"/>
      <c r="L67" s="620"/>
      <c r="M67" s="620"/>
      <c r="N67" s="620"/>
      <c r="O67" s="620"/>
      <c r="P67" s="620"/>
      <c r="R67" s="603"/>
      <c r="T67" s="620"/>
      <c r="AJ67" s="555"/>
    </row>
    <row r="68" spans="1:36" s="601" customFormat="1" ht="15.75" customHeight="1">
      <c r="A68" s="514" t="s">
        <v>81</v>
      </c>
      <c r="B68" s="515"/>
      <c r="C68" s="856">
        <f>SUM(C69:C70)</f>
        <v>3200000000</v>
      </c>
      <c r="D68" s="856">
        <f>SUM(D69:D70)</f>
        <v>2800000000</v>
      </c>
      <c r="E68" s="856">
        <f>SUM(E69:E69)</f>
        <v>400000000</v>
      </c>
      <c r="F68" s="519" t="s">
        <v>20</v>
      </c>
      <c r="G68" s="520"/>
      <c r="H68" s="520"/>
      <c r="I68" s="521"/>
      <c r="J68" s="522"/>
      <c r="L68" s="620"/>
      <c r="M68" s="620"/>
      <c r="N68" s="620"/>
      <c r="O68" s="620"/>
      <c r="P68" s="620"/>
      <c r="R68" s="603"/>
      <c r="T68" s="620"/>
      <c r="AJ68" s="555"/>
    </row>
    <row r="69" spans="1:36" s="601" customFormat="1" ht="15.75" customHeight="1">
      <c r="A69" s="510"/>
      <c r="B69" s="515" t="s">
        <v>82</v>
      </c>
      <c r="C69" s="856">
        <f>+I69+'2020년추경예산안수입 (의정부)'!C24</f>
        <v>3200000000</v>
      </c>
      <c r="D69" s="852">
        <f>+'2020년추경예산안수입 (의정부)'!D24+2800000000</f>
        <v>2800000000</v>
      </c>
      <c r="E69" s="856">
        <f>C69-D69</f>
        <v>400000000</v>
      </c>
      <c r="F69" s="248" t="s">
        <v>842</v>
      </c>
      <c r="G69" s="520"/>
      <c r="H69" s="520"/>
      <c r="I69" s="456">
        <f>+'20년 추경수입(대전)'!H30</f>
        <v>3200000000</v>
      </c>
      <c r="J69" s="522"/>
      <c r="L69" s="620"/>
      <c r="M69" s="620"/>
      <c r="N69" s="620"/>
      <c r="O69" s="620"/>
      <c r="P69" s="620"/>
      <c r="R69" s="603"/>
      <c r="T69" s="620"/>
      <c r="AJ69" s="555"/>
    </row>
    <row r="70" spans="1:36" s="601" customFormat="1" ht="15.75" customHeight="1">
      <c r="A70" s="514"/>
      <c r="B70" s="503" t="s">
        <v>83</v>
      </c>
      <c r="C70" s="852">
        <f>+'2020년추경예산안수입 (의정부)'!C25</f>
        <v>0</v>
      </c>
      <c r="D70" s="852">
        <f>+'2020년추경예산안수입 (의정부)'!D25</f>
        <v>0</v>
      </c>
      <c r="E70" s="852">
        <f>C70-D70</f>
        <v>0</v>
      </c>
      <c r="F70" s="505"/>
      <c r="G70" s="530"/>
      <c r="H70" s="530"/>
      <c r="I70" s="531"/>
      <c r="J70" s="522"/>
      <c r="L70" s="620"/>
      <c r="M70" s="620"/>
      <c r="N70" s="620"/>
      <c r="O70" s="620"/>
      <c r="P70" s="620"/>
      <c r="R70" s="603"/>
      <c r="T70" s="620"/>
      <c r="AJ70" s="555"/>
    </row>
    <row r="71" spans="1:36" s="601" customFormat="1" ht="15.75" customHeight="1">
      <c r="A71" s="502" t="s">
        <v>84</v>
      </c>
      <c r="B71" s="503"/>
      <c r="C71" s="852">
        <f>SUM(C72:C74)</f>
        <v>1400000000</v>
      </c>
      <c r="D71" s="852">
        <f>SUM(D72:D74)</f>
        <v>1800000000</v>
      </c>
      <c r="E71" s="852">
        <f>C71-D71</f>
        <v>-400000000</v>
      </c>
      <c r="F71" s="505"/>
      <c r="G71" s="530"/>
      <c r="H71" s="530"/>
      <c r="I71" s="531"/>
      <c r="J71" s="522"/>
      <c r="L71" s="620"/>
      <c r="M71" s="620"/>
      <c r="N71" s="620"/>
      <c r="O71" s="620"/>
      <c r="P71" s="620"/>
      <c r="R71" s="603"/>
      <c r="T71" s="620"/>
      <c r="AJ71" s="555"/>
    </row>
    <row r="72" spans="1:36" s="601" customFormat="1" ht="15.75" customHeight="1">
      <c r="A72" s="506"/>
      <c r="B72" s="503" t="s">
        <v>85</v>
      </c>
      <c r="C72" s="852">
        <f>+I72+'2020년추경예산안수입 (의정부)'!C27</f>
        <v>1400000000</v>
      </c>
      <c r="D72" s="852">
        <f>+'2020년추경예산안수입 (의정부)'!D27+1800000000</f>
        <v>1800000000</v>
      </c>
      <c r="E72" s="852">
        <f>C72-D72</f>
        <v>-400000000</v>
      </c>
      <c r="F72" s="505" t="s">
        <v>86</v>
      </c>
      <c r="G72" s="937">
        <f>SUM(I72/H72)</f>
        <v>116666666.66666667</v>
      </c>
      <c r="H72" s="530">
        <v>12</v>
      </c>
      <c r="I72" s="457">
        <f>+'20년 추경수입(대전)'!H26</f>
        <v>1400000000</v>
      </c>
      <c r="J72" s="522"/>
      <c r="L72" s="620"/>
      <c r="M72" s="620"/>
      <c r="N72" s="620"/>
      <c r="O72" s="620"/>
      <c r="P72" s="620"/>
      <c r="R72" s="603"/>
      <c r="T72" s="620"/>
      <c r="AJ72" s="555"/>
    </row>
    <row r="73" spans="1:36" s="601" customFormat="1" ht="15.75" customHeight="1">
      <c r="A73" s="510"/>
      <c r="B73" s="503" t="s">
        <v>87</v>
      </c>
      <c r="C73" s="852">
        <f>+'2020년추경예산안수입 (의정부)'!C28</f>
        <v>0</v>
      </c>
      <c r="D73" s="852">
        <f>+'2020년추경예산안수입 (의정부)'!D28</f>
        <v>0</v>
      </c>
      <c r="E73" s="852">
        <v>0</v>
      </c>
      <c r="F73" s="505"/>
      <c r="G73" s="530"/>
      <c r="H73" s="530"/>
      <c r="I73" s="531"/>
      <c r="J73" s="522"/>
      <c r="L73" s="620"/>
      <c r="M73" s="620"/>
      <c r="N73" s="620"/>
      <c r="O73" s="620"/>
      <c r="P73" s="620"/>
      <c r="R73" s="603"/>
      <c r="T73" s="620"/>
      <c r="AJ73" s="555"/>
    </row>
    <row r="74" spans="1:36" s="601" customFormat="1" ht="15.75" customHeight="1">
      <c r="A74" s="514"/>
      <c r="B74" s="503" t="s">
        <v>88</v>
      </c>
      <c r="C74" s="852">
        <f>I74+'2020년추경예산안수입 (의정부)'!C29</f>
        <v>0</v>
      </c>
      <c r="D74" s="852">
        <f>J74+'2020년추경예산안수입 (의정부)'!D29</f>
        <v>0</v>
      </c>
      <c r="E74" s="853">
        <f>C74-D74</f>
        <v>0</v>
      </c>
      <c r="F74" s="505"/>
      <c r="G74" s="530"/>
      <c r="H74" s="530"/>
      <c r="I74" s="531"/>
      <c r="J74" s="522"/>
      <c r="L74" s="620"/>
      <c r="M74" s="620"/>
      <c r="N74" s="620"/>
      <c r="O74" s="620"/>
      <c r="P74" s="620"/>
      <c r="R74" s="603"/>
      <c r="T74" s="620"/>
      <c r="AJ74" s="555"/>
    </row>
    <row r="75" spans="1:36" s="601" customFormat="1" ht="15.75" customHeight="1">
      <c r="A75" s="533" t="s">
        <v>89</v>
      </c>
      <c r="B75" s="503"/>
      <c r="C75" s="860">
        <f>SUM(C76+C79+C83)</f>
        <v>152000000</v>
      </c>
      <c r="D75" s="860">
        <f>SUM(D76+D79+D83)</f>
        <v>0</v>
      </c>
      <c r="E75" s="860">
        <f>E76+E79+E83</f>
        <v>152000000</v>
      </c>
      <c r="F75" s="505"/>
      <c r="G75" s="530"/>
      <c r="H75" s="530"/>
      <c r="I75" s="531"/>
      <c r="J75" s="522"/>
      <c r="L75" s="620"/>
      <c r="M75" s="620"/>
      <c r="N75" s="620"/>
      <c r="O75" s="620"/>
      <c r="P75" s="620"/>
      <c r="R75" s="603"/>
      <c r="T75" s="620"/>
      <c r="U75" s="626"/>
      <c r="AJ75" s="555"/>
    </row>
    <row r="76" spans="1:36" s="601" customFormat="1" ht="15.75" customHeight="1">
      <c r="A76" s="514" t="s">
        <v>90</v>
      </c>
      <c r="B76" s="515"/>
      <c r="C76" s="856">
        <f>SUM(C77:C78)</f>
        <v>0</v>
      </c>
      <c r="D76" s="856">
        <f>SUM(D77:D78)</f>
        <v>0</v>
      </c>
      <c r="E76" s="853">
        <f>C76-D76</f>
        <v>0</v>
      </c>
      <c r="F76" s="519"/>
      <c r="G76" s="520"/>
      <c r="H76" s="520"/>
      <c r="I76" s="521"/>
      <c r="J76" s="522"/>
      <c r="L76" s="620"/>
      <c r="M76" s="620"/>
      <c r="N76" s="620"/>
      <c r="O76" s="620"/>
      <c r="P76" s="620"/>
      <c r="R76" s="603"/>
      <c r="T76" s="620"/>
      <c r="AJ76" s="555"/>
    </row>
    <row r="77" spans="1:36" s="601" customFormat="1" ht="15.75" customHeight="1">
      <c r="A77" s="506"/>
      <c r="B77" s="503" t="s">
        <v>91</v>
      </c>
      <c r="C77" s="852">
        <f>+'2020년추경예산안수입 (의정부)'!C32</f>
        <v>0</v>
      </c>
      <c r="D77" s="852">
        <f>J77+'2020년추경예산안수입 (의정부)'!D32</f>
        <v>0</v>
      </c>
      <c r="E77" s="853">
        <f>C77-D77</f>
        <v>0</v>
      </c>
      <c r="F77" s="505"/>
      <c r="G77" s="530"/>
      <c r="H77" s="530"/>
      <c r="I77" s="531"/>
      <c r="J77" s="522"/>
      <c r="L77" s="620"/>
      <c r="M77" s="620"/>
      <c r="N77" s="620"/>
      <c r="O77" s="620"/>
      <c r="P77" s="620"/>
      <c r="R77" s="603"/>
      <c r="T77" s="620"/>
      <c r="AJ77" s="555"/>
    </row>
    <row r="78" spans="1:36" s="601" customFormat="1" ht="15.75" customHeight="1">
      <c r="A78" s="514"/>
      <c r="B78" s="503" t="s">
        <v>93</v>
      </c>
      <c r="C78" s="852">
        <f>+'2020년추경예산안수입 (의정부)'!C33</f>
        <v>0</v>
      </c>
      <c r="D78" s="852">
        <f>+'2020년추경예산안수입 (의정부)'!D33</f>
        <v>0</v>
      </c>
      <c r="E78" s="852">
        <v>0</v>
      </c>
      <c r="F78" s="505" t="s">
        <v>20</v>
      </c>
      <c r="G78" s="530"/>
      <c r="H78" s="530"/>
      <c r="I78" s="531"/>
      <c r="J78" s="522"/>
      <c r="L78" s="620"/>
      <c r="M78" s="620"/>
      <c r="N78" s="620"/>
      <c r="O78" s="620"/>
      <c r="P78" s="620"/>
      <c r="R78" s="603"/>
      <c r="T78" s="620"/>
      <c r="AJ78" s="555"/>
    </row>
    <row r="79" spans="1:36" s="601" customFormat="1" ht="15.75" customHeight="1">
      <c r="A79" s="514" t="s">
        <v>94</v>
      </c>
      <c r="B79" s="515"/>
      <c r="C79" s="856">
        <f>SUM(C80:C82)</f>
        <v>0</v>
      </c>
      <c r="D79" s="856">
        <f>SUM(D80:D82)</f>
        <v>0</v>
      </c>
      <c r="E79" s="856">
        <v>0</v>
      </c>
      <c r="F79" s="519" t="s">
        <v>20</v>
      </c>
      <c r="G79" s="520"/>
      <c r="H79" s="520"/>
      <c r="I79" s="521"/>
      <c r="J79" s="522"/>
      <c r="L79" s="620"/>
      <c r="M79" s="620"/>
      <c r="N79" s="620"/>
      <c r="O79" s="620"/>
      <c r="P79" s="620"/>
      <c r="R79" s="603"/>
      <c r="T79" s="620"/>
      <c r="AJ79" s="555"/>
    </row>
    <row r="80" spans="1:36" s="601" customFormat="1" ht="15.75" customHeight="1">
      <c r="A80" s="506"/>
      <c r="B80" s="503" t="s">
        <v>95</v>
      </c>
      <c r="C80" s="852">
        <f>+'2020년추경예산안수입 (의정부)'!C35</f>
        <v>0</v>
      </c>
      <c r="D80" s="852">
        <f>+'2020년추경예산안수입 (의정부)'!D35</f>
        <v>0</v>
      </c>
      <c r="E80" s="852">
        <v>0</v>
      </c>
      <c r="F80" s="505"/>
      <c r="G80" s="530"/>
      <c r="H80" s="530"/>
      <c r="I80" s="531"/>
      <c r="J80" s="522"/>
      <c r="L80" s="620"/>
      <c r="M80" s="620"/>
      <c r="N80" s="620"/>
      <c r="O80" s="620"/>
      <c r="P80" s="620"/>
      <c r="R80" s="603"/>
      <c r="T80" s="620"/>
      <c r="AJ80" s="555"/>
    </row>
    <row r="81" spans="1:36" s="601" customFormat="1" ht="15.75" customHeight="1">
      <c r="A81" s="510"/>
      <c r="B81" s="503" t="s">
        <v>96</v>
      </c>
      <c r="C81" s="852">
        <f>+'2020년추경예산안수입 (의정부)'!C36</f>
        <v>0</v>
      </c>
      <c r="D81" s="852">
        <f>+'2020년추경예산안수입 (의정부)'!D36</f>
        <v>0</v>
      </c>
      <c r="E81" s="852">
        <v>0</v>
      </c>
      <c r="F81" s="505" t="s">
        <v>20</v>
      </c>
      <c r="G81" s="530"/>
      <c r="H81" s="530"/>
      <c r="I81" s="531"/>
      <c r="J81" s="522"/>
      <c r="L81" s="620"/>
      <c r="M81" s="620"/>
      <c r="N81" s="620"/>
      <c r="O81" s="620"/>
      <c r="P81" s="620"/>
      <c r="R81" s="603"/>
      <c r="T81" s="620"/>
      <c r="AJ81" s="555"/>
    </row>
    <row r="82" spans="1:36" s="601" customFormat="1" ht="15.75" customHeight="1">
      <c r="A82" s="514"/>
      <c r="B82" s="503" t="s">
        <v>97</v>
      </c>
      <c r="C82" s="852">
        <f>+'2020년추경예산안수입 (의정부)'!C37</f>
        <v>0</v>
      </c>
      <c r="D82" s="852">
        <f>+'2020년추경예산안수입 (의정부)'!D37</f>
        <v>0</v>
      </c>
      <c r="E82" s="852">
        <v>0</v>
      </c>
      <c r="F82" s="505" t="s">
        <v>20</v>
      </c>
      <c r="G82" s="530"/>
      <c r="H82" s="530"/>
      <c r="I82" s="531"/>
      <c r="J82" s="522"/>
      <c r="L82" s="620"/>
      <c r="M82" s="620"/>
      <c r="N82" s="620"/>
      <c r="O82" s="620"/>
      <c r="P82" s="620"/>
      <c r="R82" s="603"/>
      <c r="T82" s="620"/>
      <c r="AJ82" s="555"/>
    </row>
    <row r="83" spans="1:36" s="601" customFormat="1" ht="15.75" customHeight="1">
      <c r="A83" s="514" t="s">
        <v>98</v>
      </c>
      <c r="B83" s="515"/>
      <c r="C83" s="856">
        <f>SUM(C84:C86)</f>
        <v>152000000</v>
      </c>
      <c r="D83" s="856">
        <f>SUM(D84:D86)</f>
        <v>0</v>
      </c>
      <c r="E83" s="856">
        <f>SUM(E84:E86)</f>
        <v>152000000</v>
      </c>
      <c r="F83" s="519"/>
      <c r="G83" s="520"/>
      <c r="H83" s="520"/>
      <c r="I83" s="521"/>
      <c r="J83" s="522"/>
      <c r="L83" s="620"/>
      <c r="M83" s="620"/>
      <c r="N83" s="620"/>
      <c r="O83" s="620"/>
      <c r="P83" s="620"/>
      <c r="R83" s="603"/>
      <c r="T83" s="620"/>
      <c r="AJ83" s="555"/>
    </row>
    <row r="84" spans="1:36" s="601" customFormat="1" ht="15.75" customHeight="1">
      <c r="A84" s="506"/>
      <c r="B84" s="503" t="s">
        <v>99</v>
      </c>
      <c r="C84" s="852">
        <f>+'2020년추경예산안수입 (의정부)'!C39</f>
        <v>0</v>
      </c>
      <c r="D84" s="852">
        <f>+'2020년추경예산안수입 (의정부)'!D39</f>
        <v>0</v>
      </c>
      <c r="E84" s="852">
        <v>0</v>
      </c>
      <c r="F84" s="505"/>
      <c r="G84" s="530"/>
      <c r="H84" s="530"/>
      <c r="I84" s="531"/>
      <c r="J84" s="522"/>
      <c r="L84" s="620"/>
      <c r="M84" s="620"/>
      <c r="N84" s="620"/>
      <c r="O84" s="620"/>
      <c r="P84" s="620"/>
      <c r="R84" s="603"/>
      <c r="T84" s="620"/>
      <c r="AJ84" s="555"/>
    </row>
    <row r="85" spans="1:36" s="601" customFormat="1" ht="15.75" customHeight="1">
      <c r="A85" s="510"/>
      <c r="B85" s="503" t="s">
        <v>100</v>
      </c>
      <c r="C85" s="852">
        <v>152000000</v>
      </c>
      <c r="D85" s="852">
        <f>+'2020년추경예산안수입 (의정부)'!D40</f>
        <v>0</v>
      </c>
      <c r="E85" s="852">
        <f>+C85-D85</f>
        <v>152000000</v>
      </c>
      <c r="F85" s="822" t="s">
        <v>1186</v>
      </c>
      <c r="G85" s="530"/>
      <c r="H85" s="530"/>
      <c r="I85" s="457"/>
      <c r="J85" s="522"/>
      <c r="L85" s="620"/>
      <c r="M85" s="620"/>
      <c r="N85" s="620"/>
      <c r="O85" s="620"/>
      <c r="P85" s="620"/>
      <c r="R85" s="603"/>
      <c r="T85" s="620"/>
      <c r="AJ85" s="555"/>
    </row>
    <row r="86" spans="1:36" s="601" customFormat="1" ht="15.75" customHeight="1">
      <c r="A86" s="510"/>
      <c r="B86" s="507" t="s">
        <v>101</v>
      </c>
      <c r="C86" s="853">
        <f>+'2020년추경예산안수입 (의정부)'!C41</f>
        <v>0</v>
      </c>
      <c r="D86" s="853">
        <f>+'2020년추경예산안수입 (의정부)'!D41</f>
        <v>0</v>
      </c>
      <c r="E86" s="853">
        <v>0</v>
      </c>
      <c r="F86" s="543"/>
      <c r="G86" s="523" t="s">
        <v>92</v>
      </c>
      <c r="H86" s="523"/>
      <c r="I86" s="524"/>
      <c r="J86" s="522"/>
      <c r="L86" s="620"/>
      <c r="M86" s="620"/>
      <c r="N86" s="620"/>
      <c r="O86" s="620"/>
      <c r="P86" s="620"/>
      <c r="R86" s="603"/>
      <c r="T86" s="620"/>
      <c r="AJ86" s="555"/>
    </row>
    <row r="87" spans="1:36" s="601" customFormat="1" ht="15.75" customHeight="1">
      <c r="A87" s="533" t="s">
        <v>102</v>
      </c>
      <c r="B87" s="534"/>
      <c r="C87" s="860">
        <f>SUM(C88)</f>
        <v>0</v>
      </c>
      <c r="D87" s="860">
        <f>SUM(D88)</f>
        <v>0</v>
      </c>
      <c r="E87" s="860">
        <f>C87-D87</f>
        <v>0</v>
      </c>
      <c r="F87" s="505"/>
      <c r="G87" s="530"/>
      <c r="H87" s="530"/>
      <c r="I87" s="531"/>
      <c r="J87" s="522"/>
      <c r="L87" s="620"/>
      <c r="M87" s="620"/>
      <c r="N87" s="620"/>
      <c r="O87" s="620"/>
      <c r="P87" s="620"/>
      <c r="R87" s="603"/>
      <c r="T87" s="620"/>
      <c r="AJ87" s="555"/>
    </row>
    <row r="88" spans="1:36" s="601" customFormat="1" ht="15.75" customHeight="1">
      <c r="A88" s="502" t="s">
        <v>103</v>
      </c>
      <c r="B88" s="503"/>
      <c r="C88" s="852">
        <f>SUM(C89:C93)</f>
        <v>0</v>
      </c>
      <c r="D88" s="852">
        <f>SUM(D89:D93)</f>
        <v>0</v>
      </c>
      <c r="E88" s="852">
        <f>C88-D88</f>
        <v>0</v>
      </c>
      <c r="F88" s="505"/>
      <c r="G88" s="530"/>
      <c r="H88" s="530"/>
      <c r="I88" s="531"/>
      <c r="J88" s="522"/>
      <c r="L88" s="620"/>
      <c r="M88" s="620"/>
      <c r="N88" s="620"/>
      <c r="O88" s="620"/>
      <c r="P88" s="620"/>
      <c r="R88" s="603"/>
      <c r="T88" s="620"/>
      <c r="AJ88" s="555"/>
    </row>
    <row r="89" spans="1:36" s="601" customFormat="1" ht="15.75" customHeight="1">
      <c r="A89" s="506"/>
      <c r="B89" s="503" t="s">
        <v>104</v>
      </c>
      <c r="C89" s="852">
        <f>I89+'2020년추경예산안수입 (의정부)'!C44</f>
        <v>0</v>
      </c>
      <c r="D89" s="852">
        <f>J89+'2020년추경예산안수입 (의정부)'!D44</f>
        <v>0</v>
      </c>
      <c r="E89" s="852">
        <f>C89-D89</f>
        <v>0</v>
      </c>
      <c r="F89" s="505"/>
      <c r="G89" s="530"/>
      <c r="H89" s="530"/>
      <c r="I89" s="531"/>
      <c r="J89" s="522"/>
      <c r="L89" s="620"/>
      <c r="M89" s="620"/>
      <c r="N89" s="620"/>
      <c r="O89" s="620"/>
      <c r="P89" s="620"/>
      <c r="R89" s="603"/>
      <c r="T89" s="620"/>
      <c r="AJ89" s="555"/>
    </row>
    <row r="90" spans="1:36" s="601" customFormat="1" ht="15.75" customHeight="1">
      <c r="A90" s="510"/>
      <c r="B90" s="503" t="s">
        <v>105</v>
      </c>
      <c r="C90" s="852">
        <f>+'2020년추경예산안수입 (의정부)'!C45</f>
        <v>0</v>
      </c>
      <c r="D90" s="852">
        <f>+'2020년추경예산안수입 (의정부)'!D45</f>
        <v>0</v>
      </c>
      <c r="E90" s="852">
        <v>0</v>
      </c>
      <c r="F90" s="505"/>
      <c r="G90" s="530"/>
      <c r="H90" s="530"/>
      <c r="I90" s="531"/>
      <c r="J90" s="522"/>
      <c r="L90" s="620"/>
      <c r="M90" s="620"/>
      <c r="N90" s="620"/>
      <c r="O90" s="620"/>
      <c r="P90" s="620"/>
      <c r="R90" s="603"/>
      <c r="T90" s="620"/>
      <c r="AJ90" s="555"/>
    </row>
    <row r="91" spans="1:36" s="601" customFormat="1" ht="15.75" customHeight="1">
      <c r="A91" s="510"/>
      <c r="B91" s="503" t="s">
        <v>106</v>
      </c>
      <c r="C91" s="852">
        <f>+'2020년추경예산안수입 (의정부)'!C46</f>
        <v>0</v>
      </c>
      <c r="D91" s="852">
        <f>J91+'2020년추경예산안수입 (의정부)'!D46</f>
        <v>0</v>
      </c>
      <c r="E91" s="852">
        <f>C91-D91</f>
        <v>0</v>
      </c>
      <c r="F91" s="505"/>
      <c r="G91" s="530"/>
      <c r="H91" s="530"/>
      <c r="I91" s="531"/>
      <c r="J91" s="522"/>
      <c r="L91" s="620"/>
      <c r="M91" s="620"/>
      <c r="N91" s="620"/>
      <c r="O91" s="620"/>
      <c r="P91" s="620"/>
      <c r="R91" s="603"/>
      <c r="T91" s="620"/>
      <c r="AJ91" s="555"/>
    </row>
    <row r="92" spans="1:36" s="601" customFormat="1" ht="15.75" customHeight="1">
      <c r="A92" s="510"/>
      <c r="B92" s="515" t="s">
        <v>107</v>
      </c>
      <c r="C92" s="856">
        <f>+'2020년추경예산안수입 (의정부)'!C47</f>
        <v>0</v>
      </c>
      <c r="D92" s="856">
        <f>+'2020년추경예산안수입 (의정부)'!D47</f>
        <v>0</v>
      </c>
      <c r="E92" s="852">
        <f>C92-D92</f>
        <v>0</v>
      </c>
      <c r="F92" s="519"/>
      <c r="G92" s="520"/>
      <c r="H92" s="520"/>
      <c r="I92" s="521"/>
      <c r="J92" s="522"/>
      <c r="L92" s="620"/>
      <c r="M92" s="620"/>
      <c r="N92" s="620"/>
      <c r="O92" s="620"/>
      <c r="P92" s="620"/>
      <c r="R92" s="603"/>
      <c r="T92" s="620"/>
      <c r="AJ92" s="555"/>
    </row>
    <row r="93" spans="1:36" s="601" customFormat="1" ht="15.75" customHeight="1">
      <c r="A93" s="514"/>
      <c r="B93" s="503" t="s">
        <v>108</v>
      </c>
      <c r="C93" s="852">
        <f>+'2020년추경예산안수입 (의정부)'!C48</f>
        <v>0</v>
      </c>
      <c r="D93" s="852">
        <f>J93+'2020년추경예산안수입 (의정부)'!D48</f>
        <v>0</v>
      </c>
      <c r="E93" s="852">
        <f>C93-D93</f>
        <v>0</v>
      </c>
      <c r="F93" s="505"/>
      <c r="G93" s="520"/>
      <c r="H93" s="520"/>
      <c r="I93" s="521"/>
      <c r="J93" s="522"/>
      <c r="L93" s="620"/>
      <c r="M93" s="620"/>
      <c r="N93" s="620"/>
      <c r="O93" s="620"/>
      <c r="P93" s="620"/>
      <c r="R93" s="603"/>
      <c r="T93" s="620"/>
      <c r="AJ93" s="555"/>
    </row>
    <row r="94" spans="1:36" s="601" customFormat="1" ht="15.75" customHeight="1">
      <c r="A94" s="533" t="s">
        <v>109</v>
      </c>
      <c r="B94" s="503"/>
      <c r="C94" s="860">
        <f>SUM(C95)</f>
        <v>0</v>
      </c>
      <c r="D94" s="860">
        <f>SUM(D95)</f>
        <v>0</v>
      </c>
      <c r="E94" s="860">
        <v>0</v>
      </c>
      <c r="F94" s="505"/>
      <c r="G94" s="530"/>
      <c r="H94" s="530"/>
      <c r="I94" s="531"/>
      <c r="J94" s="522"/>
      <c r="L94" s="620"/>
      <c r="M94" s="620"/>
      <c r="N94" s="620"/>
      <c r="O94" s="620"/>
      <c r="P94" s="620"/>
      <c r="R94" s="603"/>
      <c r="T94" s="620"/>
      <c r="AJ94" s="555"/>
    </row>
    <row r="95" spans="1:36" s="601" customFormat="1" ht="15.75" customHeight="1">
      <c r="A95" s="514" t="s">
        <v>110</v>
      </c>
      <c r="B95" s="515"/>
      <c r="C95" s="856">
        <f>SUM(C96)</f>
        <v>0</v>
      </c>
      <c r="D95" s="856">
        <f>SUM(D96)</f>
        <v>0</v>
      </c>
      <c r="E95" s="856">
        <v>0</v>
      </c>
      <c r="F95" s="519"/>
      <c r="G95" s="520"/>
      <c r="H95" s="520"/>
      <c r="I95" s="521"/>
      <c r="J95" s="522"/>
      <c r="L95" s="620"/>
      <c r="M95" s="620"/>
      <c r="N95" s="620"/>
      <c r="O95" s="620"/>
      <c r="P95" s="620"/>
      <c r="R95" s="603"/>
      <c r="T95" s="620"/>
      <c r="AJ95" s="555"/>
    </row>
    <row r="96" spans="1:36" s="601" customFormat="1" ht="15.75" customHeight="1">
      <c r="A96" s="514"/>
      <c r="B96" s="515" t="s">
        <v>111</v>
      </c>
      <c r="C96" s="856">
        <f>+'2020년추경예산안수입 (의정부)'!C51</f>
        <v>0</v>
      </c>
      <c r="D96" s="856">
        <f>+'2020년추경예산안수입 (의정부)'!D51</f>
        <v>0</v>
      </c>
      <c r="E96" s="856">
        <v>0</v>
      </c>
      <c r="F96" s="519" t="s">
        <v>92</v>
      </c>
      <c r="G96" s="520"/>
      <c r="H96" s="520"/>
      <c r="I96" s="521" t="s">
        <v>92</v>
      </c>
      <c r="J96" s="522"/>
      <c r="L96" s="620"/>
      <c r="M96" s="620"/>
      <c r="N96" s="620"/>
      <c r="O96" s="620"/>
      <c r="P96" s="620"/>
      <c r="R96" s="603"/>
      <c r="T96" s="620"/>
      <c r="AJ96" s="555"/>
    </row>
    <row r="97" spans="1:36" s="601" customFormat="1" ht="15.75" customHeight="1">
      <c r="A97" s="544" t="s">
        <v>112</v>
      </c>
      <c r="B97" s="545"/>
      <c r="C97" s="855">
        <f>SUM(C98+C101)</f>
        <v>110890000000</v>
      </c>
      <c r="D97" s="855">
        <f>SUM(D98+D101)</f>
        <v>170000000000</v>
      </c>
      <c r="E97" s="855">
        <f>C97-D97</f>
        <v>-59110000000</v>
      </c>
      <c r="F97" s="519"/>
      <c r="G97" s="520"/>
      <c r="H97" s="520"/>
      <c r="I97" s="521"/>
      <c r="J97" s="522"/>
      <c r="L97" s="620"/>
      <c r="M97" s="620"/>
      <c r="N97" s="620"/>
      <c r="O97" s="620"/>
      <c r="P97" s="620"/>
      <c r="R97" s="603"/>
      <c r="T97" s="620"/>
      <c r="AJ97" s="555"/>
    </row>
    <row r="98" spans="1:36" s="601" customFormat="1" ht="15.75" customHeight="1">
      <c r="A98" s="506" t="s">
        <v>113</v>
      </c>
      <c r="B98" s="503"/>
      <c r="C98" s="852">
        <f>SUM(C99:C100)</f>
        <v>110000000000</v>
      </c>
      <c r="D98" s="852">
        <f>SUM(D99:D100)</f>
        <v>170000000000</v>
      </c>
      <c r="E98" s="852">
        <f>C98-D98</f>
        <v>-60000000000</v>
      </c>
      <c r="F98" s="505"/>
      <c r="G98" s="530"/>
      <c r="H98" s="530"/>
      <c r="I98" s="531"/>
      <c r="J98" s="522"/>
      <c r="L98" s="620"/>
      <c r="M98" s="620"/>
      <c r="N98" s="620"/>
      <c r="O98" s="620"/>
      <c r="P98" s="620"/>
      <c r="R98" s="603"/>
      <c r="T98" s="620"/>
      <c r="AJ98" s="555"/>
    </row>
    <row r="99" spans="1:36" s="601" customFormat="1" ht="15.75" customHeight="1">
      <c r="A99" s="510"/>
      <c r="B99" s="515" t="s">
        <v>114</v>
      </c>
      <c r="C99" s="856">
        <v>110000000000</v>
      </c>
      <c r="D99" s="861">
        <f>+'2020년추경예산안수입 (의정부)'!D54</f>
        <v>170000000000</v>
      </c>
      <c r="E99" s="856">
        <f>C99-D99</f>
        <v>-60000000000</v>
      </c>
      <c r="F99" s="519"/>
      <c r="G99" s="520"/>
      <c r="H99" s="520" t="s">
        <v>1014</v>
      </c>
      <c r="I99" s="826">
        <v>110000000000</v>
      </c>
      <c r="J99" s="522"/>
      <c r="L99" s="620"/>
      <c r="M99" s="620"/>
      <c r="N99" s="620"/>
      <c r="O99" s="620"/>
      <c r="P99" s="620"/>
      <c r="R99" s="603"/>
      <c r="T99" s="620"/>
      <c r="AJ99" s="555"/>
    </row>
    <row r="100" spans="1:36" s="601" customFormat="1" ht="15.75" customHeight="1" thickBot="1">
      <c r="A100" s="128"/>
      <c r="B100" s="135" t="s">
        <v>115</v>
      </c>
      <c r="C100" s="862">
        <f>+'2020년추경예산안수입 (의정부)'!C55</f>
        <v>0</v>
      </c>
      <c r="D100" s="862">
        <f>+'2020년추경예산안수입 (의정부)'!D55</f>
        <v>0</v>
      </c>
      <c r="E100" s="862">
        <v>0</v>
      </c>
      <c r="F100" s="136"/>
      <c r="G100" s="137"/>
      <c r="H100" s="137"/>
      <c r="I100" s="138"/>
      <c r="J100" s="522"/>
      <c r="L100" s="620"/>
      <c r="M100" s="620"/>
      <c r="N100" s="620"/>
      <c r="O100" s="620"/>
      <c r="P100" s="620"/>
      <c r="R100" s="603"/>
      <c r="T100" s="620"/>
      <c r="AJ100" s="555"/>
    </row>
    <row r="101" spans="1:36" s="601" customFormat="1" ht="15.75" customHeight="1">
      <c r="A101" s="514" t="s">
        <v>116</v>
      </c>
      <c r="B101" s="515"/>
      <c r="C101" s="856">
        <f>SUM(C102:C102)</f>
        <v>890000000</v>
      </c>
      <c r="D101" s="856">
        <f>SUM(D102:D102)</f>
        <v>0</v>
      </c>
      <c r="E101" s="856">
        <f aca="true" t="shared" si="7" ref="E101:E108">C101-D101</f>
        <v>890000000</v>
      </c>
      <c r="F101" s="519"/>
      <c r="G101" s="520"/>
      <c r="H101" s="520"/>
      <c r="I101" s="521"/>
      <c r="J101" s="522"/>
      <c r="L101" s="620"/>
      <c r="M101" s="620"/>
      <c r="N101" s="620"/>
      <c r="O101" s="620"/>
      <c r="P101" s="620"/>
      <c r="R101" s="603"/>
      <c r="T101" s="620"/>
      <c r="AJ101" s="555"/>
    </row>
    <row r="102" spans="1:36" s="601" customFormat="1" ht="18" customHeight="1">
      <c r="A102" s="836"/>
      <c r="B102" s="829" t="s">
        <v>117</v>
      </c>
      <c r="C102" s="863">
        <f>+I102</f>
        <v>890000000</v>
      </c>
      <c r="D102" s="864">
        <v>0</v>
      </c>
      <c r="E102" s="863">
        <f t="shared" si="7"/>
        <v>890000000</v>
      </c>
      <c r="F102" s="837"/>
      <c r="G102" s="828"/>
      <c r="H102" s="523" t="s">
        <v>1080</v>
      </c>
      <c r="I102" s="111">
        <v>890000000</v>
      </c>
      <c r="J102" s="522"/>
      <c r="L102" s="620"/>
      <c r="M102" s="620"/>
      <c r="N102" s="620"/>
      <c r="O102" s="620"/>
      <c r="P102" s="620"/>
      <c r="R102" s="603"/>
      <c r="T102" s="620"/>
      <c r="AJ102" s="555"/>
    </row>
    <row r="103" spans="1:36" s="601" customFormat="1" ht="15.75" customHeight="1">
      <c r="A103" s="544" t="s">
        <v>118</v>
      </c>
      <c r="B103" s="534"/>
      <c r="C103" s="860">
        <f>SUM(C104)</f>
        <v>15000000000</v>
      </c>
      <c r="D103" s="855">
        <f>SUM(D104)</f>
        <v>30000000000</v>
      </c>
      <c r="E103" s="852">
        <f t="shared" si="7"/>
        <v>-15000000000</v>
      </c>
      <c r="F103" s="519"/>
      <c r="G103" s="530"/>
      <c r="H103" s="530"/>
      <c r="I103" s="531"/>
      <c r="J103" s="522"/>
      <c r="L103" s="620"/>
      <c r="M103" s="620"/>
      <c r="N103" s="620"/>
      <c r="O103" s="620"/>
      <c r="P103" s="620"/>
      <c r="R103" s="603"/>
      <c r="T103" s="620"/>
      <c r="AJ103" s="555"/>
    </row>
    <row r="104" spans="1:36" s="601" customFormat="1" ht="17.25" customHeight="1">
      <c r="A104" s="502" t="s">
        <v>574</v>
      </c>
      <c r="B104" s="503"/>
      <c r="C104" s="852">
        <f>SUM(C105)</f>
        <v>15000000000</v>
      </c>
      <c r="D104" s="852">
        <f>SUM(D105)</f>
        <v>30000000000</v>
      </c>
      <c r="E104" s="856">
        <f t="shared" si="7"/>
        <v>-15000000000</v>
      </c>
      <c r="F104" s="505"/>
      <c r="G104" s="530"/>
      <c r="H104" s="530"/>
      <c r="I104" s="531"/>
      <c r="J104" s="522"/>
      <c r="L104" s="620"/>
      <c r="M104" s="620"/>
      <c r="N104" s="620"/>
      <c r="O104" s="620"/>
      <c r="P104" s="620"/>
      <c r="R104" s="603"/>
      <c r="T104" s="620"/>
      <c r="AJ104" s="555"/>
    </row>
    <row r="105" spans="1:36" s="601" customFormat="1" ht="18.75" customHeight="1">
      <c r="A105" s="506"/>
      <c r="B105" s="507" t="s">
        <v>575</v>
      </c>
      <c r="C105" s="853">
        <f>+'2020년추경예산안수입 (의정부)'!C60</f>
        <v>15000000000</v>
      </c>
      <c r="D105" s="853">
        <f>+'2020년추경예산안수입 (의정부)'!D60</f>
        <v>30000000000</v>
      </c>
      <c r="E105" s="856">
        <f t="shared" si="7"/>
        <v>-15000000000</v>
      </c>
      <c r="F105" s="1006"/>
      <c r="G105" s="1007"/>
      <c r="H105" s="1007"/>
      <c r="I105" s="1008"/>
      <c r="J105" s="522"/>
      <c r="L105" s="620"/>
      <c r="M105" s="620"/>
      <c r="N105" s="620"/>
      <c r="O105" s="620"/>
      <c r="P105" s="620"/>
      <c r="R105" s="603"/>
      <c r="T105" s="620"/>
      <c r="AJ105" s="555"/>
    </row>
    <row r="106" spans="1:36" s="601" customFormat="1" ht="15.75" customHeight="1">
      <c r="A106" s="987" t="s">
        <v>119</v>
      </c>
      <c r="B106" s="988"/>
      <c r="C106" s="991">
        <f>+I106+'2020년추경예산안수입 (의정부)'!C61</f>
        <v>123308063950</v>
      </c>
      <c r="D106" s="991">
        <f>87867496560+3293000000</f>
        <v>91160496560</v>
      </c>
      <c r="E106" s="991">
        <f t="shared" si="7"/>
        <v>32147567390</v>
      </c>
      <c r="F106" s="501" t="s">
        <v>563</v>
      </c>
      <c r="G106" s="546"/>
      <c r="H106" s="814" t="s">
        <v>1184</v>
      </c>
      <c r="I106" s="849">
        <f>+'2020년추경예산안수입(대전)'!C105</f>
        <v>121447947840</v>
      </c>
      <c r="J106" s="522"/>
      <c r="L106" s="620"/>
      <c r="M106" s="620"/>
      <c r="N106" s="620"/>
      <c r="O106" s="620"/>
      <c r="P106" s="620"/>
      <c r="R106" s="603"/>
      <c r="T106" s="620"/>
      <c r="AJ106" s="555"/>
    </row>
    <row r="107" spans="1:36" s="601" customFormat="1" ht="15.75" customHeight="1">
      <c r="A107" s="989"/>
      <c r="B107" s="990"/>
      <c r="C107" s="992"/>
      <c r="D107" s="992"/>
      <c r="E107" s="992"/>
      <c r="F107" s="536"/>
      <c r="G107" s="522"/>
      <c r="H107" s="939" t="s">
        <v>1185</v>
      </c>
      <c r="I107" s="850">
        <f>+'2020년추경예산안수입 (의정부)'!C61</f>
        <v>1860116110</v>
      </c>
      <c r="J107" s="522"/>
      <c r="L107" s="620"/>
      <c r="M107" s="620"/>
      <c r="N107" s="620"/>
      <c r="O107" s="620"/>
      <c r="P107" s="620"/>
      <c r="R107" s="603"/>
      <c r="T107" s="620"/>
      <c r="AJ107" s="555"/>
    </row>
    <row r="108" spans="1:36" s="601" customFormat="1" ht="15.75" customHeight="1">
      <c r="A108" s="690" t="s">
        <v>120</v>
      </c>
      <c r="B108" s="548"/>
      <c r="C108" s="865">
        <f>C7+C51+C64+C75+C87+C94+C97+C103+C106</f>
        <v>467245303801.54004</v>
      </c>
      <c r="D108" s="865">
        <f>D7+D51+D64+D75+D87+D94+D97+D103+D106</f>
        <v>509329000000</v>
      </c>
      <c r="E108" s="865">
        <f t="shared" si="7"/>
        <v>-42083696198.45996</v>
      </c>
      <c r="F108" s="540"/>
      <c r="G108" s="541"/>
      <c r="H108" s="541"/>
      <c r="I108" s="542"/>
      <c r="J108" s="522"/>
      <c r="L108" s="620"/>
      <c r="M108" s="620"/>
      <c r="N108" s="620"/>
      <c r="O108" s="620"/>
      <c r="P108" s="620"/>
      <c r="R108" s="603"/>
      <c r="T108" s="620"/>
      <c r="AJ108" s="555"/>
    </row>
    <row r="109" spans="1:2" ht="13.5">
      <c r="A109" s="493"/>
      <c r="B109" s="493"/>
    </row>
    <row r="110" spans="1:2" ht="13.5">
      <c r="A110" s="493"/>
      <c r="B110" s="493"/>
    </row>
    <row r="111" spans="1:4" ht="13.5">
      <c r="A111" s="493"/>
      <c r="B111" s="493"/>
      <c r="C111" s="120"/>
      <c r="D111" s="120"/>
    </row>
    <row r="115" spans="1:37" s="695" customFormat="1" ht="13.5">
      <c r="A115" s="608"/>
      <c r="B115" s="608"/>
      <c r="D115" s="695">
        <v>317743000000</v>
      </c>
      <c r="F115" s="608"/>
      <c r="G115" s="608"/>
      <c r="H115" s="608"/>
      <c r="I115" s="608"/>
      <c r="J115" s="608"/>
      <c r="K115" s="608"/>
      <c r="L115" s="609"/>
      <c r="M115" s="609"/>
      <c r="N115" s="609"/>
      <c r="O115" s="609"/>
      <c r="P115" s="609"/>
      <c r="Q115" s="608"/>
      <c r="R115" s="611"/>
      <c r="S115" s="608"/>
      <c r="T115" s="609"/>
      <c r="U115" s="608"/>
      <c r="V115" s="608"/>
      <c r="W115" s="608"/>
      <c r="X115" s="608"/>
      <c r="Y115" s="608"/>
      <c r="Z115" s="608"/>
      <c r="AA115" s="608"/>
      <c r="AB115" s="608"/>
      <c r="AC115" s="608"/>
      <c r="AD115" s="608"/>
      <c r="AE115" s="608"/>
      <c r="AF115" s="608"/>
      <c r="AG115" s="608"/>
      <c r="AH115" s="608"/>
      <c r="AI115" s="608"/>
      <c r="AK115" s="608"/>
    </row>
    <row r="116" spans="1:37" s="695" customFormat="1" ht="13.5">
      <c r="A116" s="608"/>
      <c r="B116" s="608"/>
      <c r="D116" s="695">
        <f>+D108-D115</f>
        <v>191586000000</v>
      </c>
      <c r="F116" s="608"/>
      <c r="G116" s="608"/>
      <c r="H116" s="608"/>
      <c r="I116" s="608"/>
      <c r="J116" s="608"/>
      <c r="K116" s="608"/>
      <c r="L116" s="609"/>
      <c r="M116" s="609"/>
      <c r="N116" s="609"/>
      <c r="O116" s="609"/>
      <c r="P116" s="609"/>
      <c r="Q116" s="608"/>
      <c r="R116" s="611"/>
      <c r="S116" s="608"/>
      <c r="T116" s="609"/>
      <c r="U116" s="608"/>
      <c r="V116" s="608"/>
      <c r="W116" s="608"/>
      <c r="X116" s="608"/>
      <c r="Y116" s="608"/>
      <c r="Z116" s="608"/>
      <c r="AA116" s="608"/>
      <c r="AB116" s="608"/>
      <c r="AC116" s="608"/>
      <c r="AD116" s="608"/>
      <c r="AE116" s="608"/>
      <c r="AF116" s="608"/>
      <c r="AG116" s="608"/>
      <c r="AH116" s="608"/>
      <c r="AI116" s="608"/>
      <c r="AK116" s="608"/>
    </row>
  </sheetData>
  <sheetProtection/>
  <mergeCells count="38">
    <mergeCell ref="X33:Y33"/>
    <mergeCell ref="A1:I1"/>
    <mergeCell ref="A2:I2"/>
    <mergeCell ref="C5:C6"/>
    <mergeCell ref="D5:D6"/>
    <mergeCell ref="E5:E6"/>
    <mergeCell ref="F5:I6"/>
    <mergeCell ref="X28:Y28"/>
    <mergeCell ref="X29:Y29"/>
    <mergeCell ref="X30:Y30"/>
    <mergeCell ref="X31:Y31"/>
    <mergeCell ref="X32:Y32"/>
    <mergeCell ref="X45:Y45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A106:B107"/>
    <mergeCell ref="C106:C107"/>
    <mergeCell ref="D106:D107"/>
    <mergeCell ref="E106:E107"/>
    <mergeCell ref="F51:I51"/>
    <mergeCell ref="F52:I52"/>
    <mergeCell ref="F53:I53"/>
    <mergeCell ref="H62:I62"/>
    <mergeCell ref="A66:A67"/>
    <mergeCell ref="B66:B67"/>
    <mergeCell ref="C66:C67"/>
    <mergeCell ref="D66:D67"/>
    <mergeCell ref="E66:E67"/>
    <mergeCell ref="F105:I105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88" r:id="rId3"/>
  <rowBreaks count="3" manualBreakCount="3">
    <brk id="34" max="8" man="1"/>
    <brk id="67" max="8" man="1"/>
    <brk id="100" max="8" man="1"/>
  </rowBreaks>
  <ignoredErrors>
    <ignoredError sqref="E7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C35" sqref="C35"/>
    </sheetView>
  </sheetViews>
  <sheetFormatPr defaultColWidth="8.88671875" defaultRowHeight="13.5"/>
  <cols>
    <col min="1" max="1" width="20.6640625" style="143" customWidth="1"/>
    <col min="2" max="2" width="17.6640625" style="143" customWidth="1"/>
    <col min="3" max="5" width="19.3359375" style="144" customWidth="1"/>
    <col min="6" max="6" width="14.99609375" style="143" customWidth="1"/>
    <col min="7" max="7" width="9.77734375" style="144" customWidth="1"/>
    <col min="8" max="8" width="7.77734375" style="143" customWidth="1"/>
    <col min="9" max="9" width="11.77734375" style="143" customWidth="1"/>
    <col min="10" max="10" width="14.4453125" style="145" hidden="1" customWidth="1"/>
    <col min="11" max="11" width="12.99609375" style="146" hidden="1" customWidth="1"/>
    <col min="12" max="12" width="15.4453125" style="146" bestFit="1" customWidth="1"/>
    <col min="13" max="13" width="18.5546875" style="143" customWidth="1"/>
    <col min="14" max="14" width="10.21484375" style="146" customWidth="1"/>
    <col min="15" max="15" width="18.88671875" style="143" customWidth="1"/>
    <col min="16" max="16" width="14.21484375" style="143" customWidth="1"/>
    <col min="17" max="17" width="11.77734375" style="143" customWidth="1"/>
    <col min="18" max="16384" width="8.88671875" style="143" customWidth="1"/>
  </cols>
  <sheetData>
    <row r="1" spans="1:5" ht="21" customHeight="1">
      <c r="A1" s="492" t="s">
        <v>1209</v>
      </c>
      <c r="B1" s="141"/>
      <c r="C1" s="142"/>
      <c r="D1" s="142"/>
      <c r="E1" s="142"/>
    </row>
    <row r="2" spans="1:14" s="147" customFormat="1" ht="21" customHeight="1">
      <c r="A2" s="613" t="s">
        <v>1210</v>
      </c>
      <c r="C2" s="148"/>
      <c r="D2" s="148"/>
      <c r="E2" s="148"/>
      <c r="F2" s="149"/>
      <c r="G2" s="148"/>
      <c r="H2" s="150"/>
      <c r="I2" s="151" t="s">
        <v>589</v>
      </c>
      <c r="J2" s="152"/>
      <c r="K2" s="153"/>
      <c r="L2" s="153"/>
      <c r="N2" s="153"/>
    </row>
    <row r="3" spans="1:14" s="147" customFormat="1" ht="15" customHeight="1">
      <c r="A3" s="154" t="s">
        <v>121</v>
      </c>
      <c r="B3" s="155" t="s">
        <v>122</v>
      </c>
      <c r="C3" s="1034" t="s">
        <v>260</v>
      </c>
      <c r="D3" s="1034" t="s">
        <v>261</v>
      </c>
      <c r="E3" s="1034" t="s">
        <v>123</v>
      </c>
      <c r="F3" s="1036" t="s">
        <v>1</v>
      </c>
      <c r="G3" s="1036"/>
      <c r="H3" s="1036"/>
      <c r="I3" s="1037"/>
      <c r="J3" s="1040" t="s">
        <v>124</v>
      </c>
      <c r="K3" s="153"/>
      <c r="L3" s="153"/>
      <c r="N3" s="153"/>
    </row>
    <row r="4" spans="1:14" s="147" customFormat="1" ht="15" customHeight="1">
      <c r="A4" s="156" t="s">
        <v>2</v>
      </c>
      <c r="B4" s="157" t="s">
        <v>3</v>
      </c>
      <c r="C4" s="1035"/>
      <c r="D4" s="1035"/>
      <c r="E4" s="1035"/>
      <c r="F4" s="1038"/>
      <c r="G4" s="1038"/>
      <c r="H4" s="1038"/>
      <c r="I4" s="1039"/>
      <c r="J4" s="1040"/>
      <c r="K4" s="153"/>
      <c r="L4" s="153"/>
      <c r="N4" s="153"/>
    </row>
    <row r="5" spans="1:15" s="147" customFormat="1" ht="15.75" customHeight="1">
      <c r="A5" s="158" t="s">
        <v>125</v>
      </c>
      <c r="B5" s="159"/>
      <c r="C5" s="866">
        <f>SUM(C6+C15)</f>
        <v>87852200000</v>
      </c>
      <c r="D5" s="866">
        <f>SUM(D6+D15)</f>
        <v>91096000000</v>
      </c>
      <c r="E5" s="866">
        <f>C5-D5</f>
        <v>-3243800000</v>
      </c>
      <c r="F5" s="160"/>
      <c r="G5" s="161"/>
      <c r="H5" s="162"/>
      <c r="I5" s="163"/>
      <c r="J5" s="152"/>
      <c r="K5" s="153"/>
      <c r="L5" s="153"/>
      <c r="N5" s="153"/>
      <c r="O5" s="150"/>
    </row>
    <row r="6" spans="1:15" s="147" customFormat="1" ht="15.75" customHeight="1">
      <c r="A6" s="164" t="s">
        <v>126</v>
      </c>
      <c r="B6" s="165"/>
      <c r="C6" s="867">
        <f>SUM(C7:C14)</f>
        <v>9800000000</v>
      </c>
      <c r="D6" s="867">
        <f>SUM(D7:D14)</f>
        <v>11800000000</v>
      </c>
      <c r="E6" s="867">
        <f>C6-D6</f>
        <v>-2000000000</v>
      </c>
      <c r="F6" s="166"/>
      <c r="G6" s="167"/>
      <c r="H6" s="168"/>
      <c r="I6" s="169"/>
      <c r="J6" s="152"/>
      <c r="K6" s="153"/>
      <c r="L6" s="153"/>
      <c r="N6" s="153"/>
      <c r="O6" s="150"/>
    </row>
    <row r="7" spans="1:14" s="147" customFormat="1" ht="15.75" customHeight="1">
      <c r="A7" s="170"/>
      <c r="B7" s="165" t="s">
        <v>127</v>
      </c>
      <c r="C7" s="867">
        <v>0</v>
      </c>
      <c r="D7" s="868">
        <v>0</v>
      </c>
      <c r="E7" s="867">
        <f aca="true" t="shared" si="0" ref="E7:E31">C7-D7</f>
        <v>0</v>
      </c>
      <c r="F7" s="166" t="s">
        <v>20</v>
      </c>
      <c r="G7" s="167"/>
      <c r="H7" s="168"/>
      <c r="I7" s="169"/>
      <c r="J7" s="152"/>
      <c r="K7" s="153"/>
      <c r="L7" s="153"/>
      <c r="N7" s="153"/>
    </row>
    <row r="8" spans="1:14" s="147" customFormat="1" ht="15.75" customHeight="1">
      <c r="A8" s="171"/>
      <c r="B8" s="165" t="s">
        <v>128</v>
      </c>
      <c r="C8" s="867">
        <v>0</v>
      </c>
      <c r="D8" s="868">
        <v>0</v>
      </c>
      <c r="E8" s="867">
        <f t="shared" si="0"/>
        <v>0</v>
      </c>
      <c r="F8" s="166" t="s">
        <v>20</v>
      </c>
      <c r="G8" s="167"/>
      <c r="H8" s="168"/>
      <c r="I8" s="169"/>
      <c r="J8" s="152"/>
      <c r="K8" s="153"/>
      <c r="L8" s="153"/>
      <c r="N8" s="153"/>
    </row>
    <row r="9" spans="1:14" s="147" customFormat="1" ht="15.75" customHeight="1">
      <c r="A9" s="171"/>
      <c r="B9" s="830" t="s">
        <v>129</v>
      </c>
      <c r="C9" s="869">
        <v>9800000000</v>
      </c>
      <c r="D9" s="870">
        <f>7800000000+4000000000</f>
        <v>11800000000</v>
      </c>
      <c r="E9" s="869">
        <f>C9-D9</f>
        <v>-2000000000</v>
      </c>
      <c r="F9" s="184" t="s">
        <v>1081</v>
      </c>
      <c r="G9" s="189"/>
      <c r="H9" s="185"/>
      <c r="I9" s="474">
        <f>+C9</f>
        <v>9800000000</v>
      </c>
      <c r="J9" s="152">
        <f>D9*3%</f>
        <v>354000000</v>
      </c>
      <c r="K9" s="153"/>
      <c r="L9" s="153"/>
      <c r="N9" s="153"/>
    </row>
    <row r="10" spans="1:14" s="147" customFormat="1" ht="15.75" customHeight="1">
      <c r="A10" s="171"/>
      <c r="B10" s="165" t="s">
        <v>131</v>
      </c>
      <c r="C10" s="867">
        <v>0</v>
      </c>
      <c r="D10" s="868">
        <v>0</v>
      </c>
      <c r="E10" s="867">
        <f t="shared" si="0"/>
        <v>0</v>
      </c>
      <c r="F10" s="166" t="s">
        <v>92</v>
      </c>
      <c r="G10" s="167" t="s">
        <v>92</v>
      </c>
      <c r="H10" s="168" t="s">
        <v>92</v>
      </c>
      <c r="I10" s="169"/>
      <c r="J10" s="152"/>
      <c r="K10" s="153"/>
      <c r="L10" s="153"/>
      <c r="N10" s="153"/>
    </row>
    <row r="11" spans="1:14" s="147" customFormat="1" ht="15.75" customHeight="1">
      <c r="A11" s="171"/>
      <c r="B11" s="165" t="s">
        <v>133</v>
      </c>
      <c r="C11" s="867">
        <v>0</v>
      </c>
      <c r="D11" s="868">
        <v>0</v>
      </c>
      <c r="E11" s="867">
        <f t="shared" si="0"/>
        <v>0</v>
      </c>
      <c r="F11" s="166"/>
      <c r="G11" s="167"/>
      <c r="H11" s="168"/>
      <c r="I11" s="169"/>
      <c r="J11" s="152"/>
      <c r="K11" s="153"/>
      <c r="L11" s="153"/>
      <c r="N11" s="153"/>
    </row>
    <row r="12" spans="1:14" s="147" customFormat="1" ht="15.75" customHeight="1">
      <c r="A12" s="171"/>
      <c r="B12" s="165" t="s">
        <v>134</v>
      </c>
      <c r="C12" s="867">
        <v>0</v>
      </c>
      <c r="D12" s="868">
        <v>0</v>
      </c>
      <c r="E12" s="867">
        <f t="shared" si="0"/>
        <v>0</v>
      </c>
      <c r="F12" s="166"/>
      <c r="G12" s="167"/>
      <c r="H12" s="168"/>
      <c r="I12" s="169"/>
      <c r="J12" s="152"/>
      <c r="K12" s="153"/>
      <c r="L12" s="153"/>
      <c r="N12" s="153"/>
    </row>
    <row r="13" spans="1:14" s="147" customFormat="1" ht="15.75" customHeight="1">
      <c r="A13" s="171"/>
      <c r="B13" s="165" t="s">
        <v>135</v>
      </c>
      <c r="C13" s="867">
        <v>0</v>
      </c>
      <c r="D13" s="868">
        <v>0</v>
      </c>
      <c r="E13" s="867">
        <f t="shared" si="0"/>
        <v>0</v>
      </c>
      <c r="F13" s="166"/>
      <c r="G13" s="167"/>
      <c r="H13" s="168"/>
      <c r="I13" s="169"/>
      <c r="J13" s="152"/>
      <c r="K13" s="153"/>
      <c r="L13" s="153"/>
      <c r="N13" s="153"/>
    </row>
    <row r="14" spans="1:14" s="147" customFormat="1" ht="15.75" customHeight="1">
      <c r="A14" s="171"/>
      <c r="B14" s="165" t="s">
        <v>136</v>
      </c>
      <c r="C14" s="867">
        <v>0</v>
      </c>
      <c r="D14" s="868">
        <v>0</v>
      </c>
      <c r="E14" s="867">
        <f t="shared" si="0"/>
        <v>0</v>
      </c>
      <c r="F14" s="166"/>
      <c r="G14" s="167"/>
      <c r="H14" s="168"/>
      <c r="I14" s="169"/>
      <c r="J14" s="152"/>
      <c r="K14" s="153"/>
      <c r="L14" s="153"/>
      <c r="N14" s="153"/>
    </row>
    <row r="15" spans="1:14" s="147" customFormat="1" ht="15.75" customHeight="1">
      <c r="A15" s="164" t="s">
        <v>137</v>
      </c>
      <c r="B15" s="165"/>
      <c r="C15" s="867">
        <f>SUM(C16:C21)</f>
        <v>78052200000</v>
      </c>
      <c r="D15" s="868">
        <f>SUM(D16:D21)</f>
        <v>79296000000</v>
      </c>
      <c r="E15" s="867">
        <f t="shared" si="0"/>
        <v>-1243800000</v>
      </c>
      <c r="F15" s="166"/>
      <c r="G15" s="167"/>
      <c r="H15" s="168"/>
      <c r="I15" s="169"/>
      <c r="J15" s="152"/>
      <c r="K15" s="153"/>
      <c r="L15" s="153"/>
      <c r="N15" s="153"/>
    </row>
    <row r="16" spans="1:14" s="147" customFormat="1" ht="15.75" customHeight="1">
      <c r="A16" s="172"/>
      <c r="B16" s="830" t="s">
        <v>138</v>
      </c>
      <c r="C16" s="869">
        <v>34020000000</v>
      </c>
      <c r="D16" s="870">
        <f>26352800000+12000000000</f>
        <v>38352800000</v>
      </c>
      <c r="E16" s="869">
        <f t="shared" si="0"/>
        <v>-4332800000</v>
      </c>
      <c r="F16" s="166" t="s">
        <v>304</v>
      </c>
      <c r="G16" s="459"/>
      <c r="H16" s="168"/>
      <c r="I16" s="458">
        <f>+C16</f>
        <v>34020000000</v>
      </c>
      <c r="J16" s="173"/>
      <c r="K16" s="174"/>
      <c r="L16" s="153"/>
      <c r="N16" s="153"/>
    </row>
    <row r="17" spans="1:14" s="147" customFormat="1" ht="15.75" customHeight="1">
      <c r="A17" s="171"/>
      <c r="B17" s="165" t="s">
        <v>139</v>
      </c>
      <c r="C17" s="867">
        <v>7272000000</v>
      </c>
      <c r="D17" s="868">
        <v>7272000000</v>
      </c>
      <c r="E17" s="867">
        <f t="shared" si="0"/>
        <v>0</v>
      </c>
      <c r="F17" s="166" t="s">
        <v>305</v>
      </c>
      <c r="G17" s="459"/>
      <c r="H17" s="168"/>
      <c r="I17" s="458">
        <f>+'20년 추경지출(대전)'!H20</f>
        <v>7272000000</v>
      </c>
      <c r="J17" s="173"/>
      <c r="K17" s="175"/>
      <c r="L17" s="153"/>
      <c r="N17" s="153"/>
    </row>
    <row r="18" spans="1:14" s="147" customFormat="1" ht="15.75" customHeight="1">
      <c r="A18" s="176"/>
      <c r="B18" s="165" t="s">
        <v>140</v>
      </c>
      <c r="C18" s="867">
        <v>27530200000</v>
      </c>
      <c r="D18" s="868">
        <v>26530200000</v>
      </c>
      <c r="E18" s="867">
        <f t="shared" si="0"/>
        <v>1000000000</v>
      </c>
      <c r="F18" s="166" t="s">
        <v>306</v>
      </c>
      <c r="G18" s="459"/>
      <c r="H18" s="168"/>
      <c r="I18" s="458">
        <f>+C18</f>
        <v>27530200000</v>
      </c>
      <c r="J18" s="173"/>
      <c r="K18" s="175"/>
      <c r="L18" s="153"/>
      <c r="N18" s="153"/>
    </row>
    <row r="19" spans="1:14" s="147" customFormat="1" ht="15.75" customHeight="1">
      <c r="A19" s="176"/>
      <c r="B19" s="165" t="s">
        <v>141</v>
      </c>
      <c r="C19" s="867">
        <v>3368000000</v>
      </c>
      <c r="D19" s="868">
        <v>6516000000</v>
      </c>
      <c r="E19" s="867">
        <f t="shared" si="0"/>
        <v>-3148000000</v>
      </c>
      <c r="F19" s="166" t="s">
        <v>843</v>
      </c>
      <c r="G19" s="459"/>
      <c r="H19" s="168"/>
      <c r="I19" s="458">
        <f>+C19</f>
        <v>3368000000</v>
      </c>
      <c r="J19" s="173"/>
      <c r="K19" s="177"/>
      <c r="L19" s="153"/>
      <c r="N19" s="153"/>
    </row>
    <row r="20" spans="1:14" s="147" customFormat="1" ht="15.75" customHeight="1">
      <c r="A20" s="171"/>
      <c r="B20" s="165" t="s">
        <v>142</v>
      </c>
      <c r="C20" s="867">
        <f>+I20</f>
        <v>30000000</v>
      </c>
      <c r="D20" s="868">
        <v>30000000</v>
      </c>
      <c r="E20" s="867">
        <f t="shared" si="0"/>
        <v>0</v>
      </c>
      <c r="F20" s="166" t="s">
        <v>307</v>
      </c>
      <c r="G20" s="459"/>
      <c r="H20" s="168"/>
      <c r="I20" s="458">
        <f>+'20년 추경지출(대전)'!H23</f>
        <v>30000000</v>
      </c>
      <c r="J20" s="173"/>
      <c r="K20" s="177"/>
      <c r="L20" s="153"/>
      <c r="N20" s="153"/>
    </row>
    <row r="21" spans="1:14" s="147" customFormat="1" ht="15.75" customHeight="1">
      <c r="A21" s="178"/>
      <c r="B21" s="165" t="s">
        <v>143</v>
      </c>
      <c r="C21" s="867">
        <v>5832000000</v>
      </c>
      <c r="D21" s="868">
        <v>595000000</v>
      </c>
      <c r="E21" s="867">
        <f t="shared" si="0"/>
        <v>5237000000</v>
      </c>
      <c r="F21" s="166"/>
      <c r="G21" s="459"/>
      <c r="H21" s="168"/>
      <c r="I21" s="458">
        <f>+C21</f>
        <v>5832000000</v>
      </c>
      <c r="J21" s="173"/>
      <c r="K21" s="177"/>
      <c r="L21" s="153"/>
      <c r="N21" s="153"/>
    </row>
    <row r="22" spans="1:15" s="147" customFormat="1" ht="15.75" customHeight="1">
      <c r="A22" s="179" t="s">
        <v>144</v>
      </c>
      <c r="B22" s="180"/>
      <c r="C22" s="871">
        <f>SUM(C23+C48+C78+C99)</f>
        <v>97584310000</v>
      </c>
      <c r="D22" s="871">
        <f>SUM(D23+D48+D78+D99)</f>
        <v>91376000000</v>
      </c>
      <c r="E22" s="871">
        <f t="shared" si="0"/>
        <v>6208310000</v>
      </c>
      <c r="F22" s="181"/>
      <c r="G22" s="460"/>
      <c r="H22" s="182"/>
      <c r="I22" s="473"/>
      <c r="J22" s="152"/>
      <c r="K22" s="153"/>
      <c r="L22" s="153"/>
      <c r="N22" s="153"/>
      <c r="O22" s="150"/>
    </row>
    <row r="23" spans="1:14" s="147" customFormat="1" ht="15.75" customHeight="1">
      <c r="A23" s="164" t="s">
        <v>338</v>
      </c>
      <c r="B23" s="165"/>
      <c r="C23" s="867">
        <f>SUM(C24:C47)</f>
        <v>14168000000</v>
      </c>
      <c r="D23" s="868">
        <f>+D24+D28+D34+D41+D42+D47</f>
        <v>13788000000</v>
      </c>
      <c r="E23" s="867">
        <f t="shared" si="0"/>
        <v>380000000</v>
      </c>
      <c r="F23" s="166"/>
      <c r="G23" s="459"/>
      <c r="H23" s="168"/>
      <c r="I23" s="458"/>
      <c r="J23" s="152"/>
      <c r="K23" s="153"/>
      <c r="L23" s="153"/>
      <c r="N23" s="153"/>
    </row>
    <row r="24" spans="1:14" s="147" customFormat="1" ht="15.75" customHeight="1">
      <c r="A24" s="172"/>
      <c r="B24" s="183" t="s">
        <v>145</v>
      </c>
      <c r="C24" s="872">
        <f>+I27</f>
        <v>500000000</v>
      </c>
      <c r="D24" s="873">
        <v>500000000</v>
      </c>
      <c r="E24" s="872">
        <f t="shared" si="0"/>
        <v>0</v>
      </c>
      <c r="F24" s="184" t="s">
        <v>146</v>
      </c>
      <c r="G24" s="190"/>
      <c r="H24" s="185"/>
      <c r="I24" s="474">
        <v>73600000</v>
      </c>
      <c r="J24" s="152">
        <f>D24*3%</f>
        <v>15000000</v>
      </c>
      <c r="K24" s="153"/>
      <c r="L24" s="1028" t="s">
        <v>564</v>
      </c>
      <c r="N24" s="153"/>
    </row>
    <row r="25" spans="1:14" s="147" customFormat="1" ht="15.75" customHeight="1">
      <c r="A25" s="176"/>
      <c r="B25" s="186"/>
      <c r="C25" s="874"/>
      <c r="D25" s="875"/>
      <c r="E25" s="874"/>
      <c r="F25" s="721" t="s">
        <v>291</v>
      </c>
      <c r="G25" s="190"/>
      <c r="H25" s="188"/>
      <c r="I25" s="191">
        <v>13200000</v>
      </c>
      <c r="J25" s="152">
        <v>644765</v>
      </c>
      <c r="K25" s="153"/>
      <c r="L25" s="1029"/>
      <c r="N25" s="153"/>
    </row>
    <row r="26" spans="1:14" s="147" customFormat="1" ht="15.75" customHeight="1">
      <c r="A26" s="176"/>
      <c r="B26" s="186"/>
      <c r="C26" s="874"/>
      <c r="D26" s="875"/>
      <c r="E26" s="874"/>
      <c r="F26" s="721" t="s">
        <v>292</v>
      </c>
      <c r="G26" s="190"/>
      <c r="H26" s="188"/>
      <c r="I26" s="191">
        <f>315200000+98000000</f>
        <v>413200000</v>
      </c>
      <c r="J26" s="152"/>
      <c r="K26" s="153"/>
      <c r="L26" s="1029"/>
      <c r="N26" s="153"/>
    </row>
    <row r="27" spans="1:14" s="147" customFormat="1" ht="15.75" customHeight="1">
      <c r="A27" s="176"/>
      <c r="B27" s="186"/>
      <c r="C27" s="874"/>
      <c r="D27" s="875"/>
      <c r="E27" s="876"/>
      <c r="F27" s="721" t="s">
        <v>147</v>
      </c>
      <c r="G27" s="190"/>
      <c r="H27" s="188"/>
      <c r="I27" s="205">
        <f>SUM(I24:I26)</f>
        <v>500000000</v>
      </c>
      <c r="J27" s="152"/>
      <c r="K27" s="153"/>
      <c r="L27" s="1029"/>
      <c r="N27" s="153"/>
    </row>
    <row r="28" spans="1:14" s="147" customFormat="1" ht="15.75" customHeight="1">
      <c r="A28" s="176"/>
      <c r="B28" s="183" t="s">
        <v>148</v>
      </c>
      <c r="C28" s="872">
        <f>+I31</f>
        <v>3737000000</v>
      </c>
      <c r="D28" s="877">
        <v>3737000000</v>
      </c>
      <c r="E28" s="872">
        <f>C28-D28</f>
        <v>0</v>
      </c>
      <c r="F28" s="184" t="s">
        <v>149</v>
      </c>
      <c r="G28" s="189"/>
      <c r="H28" s="185"/>
      <c r="I28" s="474">
        <v>3009000000</v>
      </c>
      <c r="J28" s="152">
        <f>D28*3%</f>
        <v>112110000</v>
      </c>
      <c r="K28" s="153"/>
      <c r="L28" s="1029"/>
      <c r="N28" s="153"/>
    </row>
    <row r="29" spans="1:14" s="147" customFormat="1" ht="15.75" customHeight="1">
      <c r="A29" s="171"/>
      <c r="B29" s="186"/>
      <c r="C29" s="874"/>
      <c r="D29" s="875"/>
      <c r="E29" s="874">
        <f t="shared" si="0"/>
        <v>0</v>
      </c>
      <c r="F29" s="721" t="s">
        <v>150</v>
      </c>
      <c r="G29" s="190"/>
      <c r="H29" s="188"/>
      <c r="I29" s="191">
        <v>320000000</v>
      </c>
      <c r="J29" s="152"/>
      <c r="K29" s="153"/>
      <c r="L29" s="1029"/>
      <c r="N29" s="153"/>
    </row>
    <row r="30" spans="1:14" s="147" customFormat="1" ht="15.75" customHeight="1">
      <c r="A30" s="171"/>
      <c r="B30" s="186"/>
      <c r="C30" s="874"/>
      <c r="D30" s="875"/>
      <c r="E30" s="874">
        <f t="shared" si="0"/>
        <v>0</v>
      </c>
      <c r="F30" s="721" t="s">
        <v>151</v>
      </c>
      <c r="G30" s="190"/>
      <c r="H30" s="188"/>
      <c r="I30" s="191">
        <v>408000000</v>
      </c>
      <c r="J30" s="152"/>
      <c r="K30" s="153"/>
      <c r="L30" s="1029"/>
      <c r="N30" s="153"/>
    </row>
    <row r="31" spans="1:14" s="147" customFormat="1" ht="15.75" customHeight="1">
      <c r="A31" s="171"/>
      <c r="B31" s="192"/>
      <c r="C31" s="876"/>
      <c r="D31" s="878"/>
      <c r="E31" s="876">
        <f t="shared" si="0"/>
        <v>0</v>
      </c>
      <c r="F31" s="193" t="s">
        <v>147</v>
      </c>
      <c r="G31" s="460"/>
      <c r="H31" s="182"/>
      <c r="I31" s="194">
        <f>SUM(I28:I30)</f>
        <v>3737000000</v>
      </c>
      <c r="J31" s="152"/>
      <c r="K31" s="153"/>
      <c r="L31" s="1029"/>
      <c r="N31" s="153"/>
    </row>
    <row r="32" spans="1:14" s="147" customFormat="1" ht="15.75" customHeight="1">
      <c r="A32" s="171"/>
      <c r="B32" s="165" t="s">
        <v>152</v>
      </c>
      <c r="C32" s="867">
        <f>+I32</f>
        <v>0</v>
      </c>
      <c r="D32" s="868">
        <v>0</v>
      </c>
      <c r="E32" s="867">
        <f>C32-D32</f>
        <v>0</v>
      </c>
      <c r="F32" s="166"/>
      <c r="G32" s="460"/>
      <c r="H32" s="168"/>
      <c r="I32" s="458"/>
      <c r="J32" s="152"/>
      <c r="K32" s="153"/>
      <c r="L32" s="1029"/>
      <c r="N32" s="153"/>
    </row>
    <row r="33" spans="1:14" s="147" customFormat="1" ht="15.75" customHeight="1">
      <c r="A33" s="249"/>
      <c r="B33" s="842" t="s">
        <v>153</v>
      </c>
      <c r="C33" s="879">
        <f>+I33</f>
        <v>0</v>
      </c>
      <c r="D33" s="880">
        <v>0</v>
      </c>
      <c r="E33" s="879">
        <f>C33-D33</f>
        <v>0</v>
      </c>
      <c r="F33" s="222"/>
      <c r="G33" s="947"/>
      <c r="H33" s="224"/>
      <c r="I33" s="948"/>
      <c r="J33" s="152"/>
      <c r="K33" s="153"/>
      <c r="L33" s="1029"/>
      <c r="N33" s="153"/>
    </row>
    <row r="34" spans="1:14" s="147" customFormat="1" ht="15.75" customHeight="1">
      <c r="A34" s="171"/>
      <c r="B34" s="186" t="s">
        <v>154</v>
      </c>
      <c r="C34" s="874">
        <v>9636000000</v>
      </c>
      <c r="D34" s="875">
        <v>9436000000</v>
      </c>
      <c r="E34" s="874">
        <f>C34-D34</f>
        <v>200000000</v>
      </c>
      <c r="F34" s="721" t="s">
        <v>286</v>
      </c>
      <c r="G34" s="190">
        <f aca="true" t="shared" si="1" ref="G34:G39">I34/H34</f>
        <v>384416666.6666667</v>
      </c>
      <c r="H34" s="188">
        <v>12</v>
      </c>
      <c r="I34" s="191">
        <v>4613000000</v>
      </c>
      <c r="J34" s="152">
        <f>D34*3%-E34</f>
        <v>83080000</v>
      </c>
      <c r="K34" s="153"/>
      <c r="L34" s="1029"/>
      <c r="N34" s="153"/>
    </row>
    <row r="35" spans="1:14" s="147" customFormat="1" ht="15.75" customHeight="1">
      <c r="A35" s="171"/>
      <c r="B35" s="186"/>
      <c r="C35" s="874"/>
      <c r="D35" s="875"/>
      <c r="E35" s="874"/>
      <c r="F35" s="721" t="s">
        <v>348</v>
      </c>
      <c r="G35" s="190">
        <f t="shared" si="1"/>
        <v>131416666.66666667</v>
      </c>
      <c r="H35" s="188">
        <v>12</v>
      </c>
      <c r="I35" s="191">
        <f>1388000000+189000000</f>
        <v>1577000000</v>
      </c>
      <c r="J35" s="152"/>
      <c r="K35" s="153"/>
      <c r="L35" s="1029"/>
      <c r="N35" s="153"/>
    </row>
    <row r="36" spans="1:14" s="147" customFormat="1" ht="15.75" customHeight="1">
      <c r="A36" s="171"/>
      <c r="B36" s="186"/>
      <c r="C36" s="874"/>
      <c r="D36" s="875"/>
      <c r="E36" s="874"/>
      <c r="F36" s="721" t="s">
        <v>349</v>
      </c>
      <c r="G36" s="190">
        <f t="shared" si="1"/>
        <v>37500000</v>
      </c>
      <c r="H36" s="188">
        <v>12</v>
      </c>
      <c r="I36" s="191">
        <v>450000000</v>
      </c>
      <c r="J36" s="152"/>
      <c r="K36" s="153"/>
      <c r="L36" s="1029"/>
      <c r="N36" s="153"/>
    </row>
    <row r="37" spans="1:14" s="147" customFormat="1" ht="15.75" customHeight="1">
      <c r="A37" s="171"/>
      <c r="B37" s="186"/>
      <c r="C37" s="874"/>
      <c r="D37" s="875"/>
      <c r="E37" s="874"/>
      <c r="F37" s="721" t="s">
        <v>355</v>
      </c>
      <c r="G37" s="190">
        <f t="shared" si="1"/>
        <v>22250000</v>
      </c>
      <c r="H37" s="188">
        <v>12</v>
      </c>
      <c r="I37" s="191">
        <v>267000000</v>
      </c>
      <c r="J37" s="152"/>
      <c r="K37" s="153"/>
      <c r="L37" s="1029"/>
      <c r="N37" s="153"/>
    </row>
    <row r="38" spans="1:14" s="147" customFormat="1" ht="15.75" customHeight="1">
      <c r="A38" s="171"/>
      <c r="B38" s="186"/>
      <c r="C38" s="874"/>
      <c r="D38" s="875"/>
      <c r="E38" s="874"/>
      <c r="F38" s="721" t="s">
        <v>155</v>
      </c>
      <c r="G38" s="190">
        <f t="shared" si="1"/>
        <v>37416666.666666664</v>
      </c>
      <c r="H38" s="188">
        <v>12</v>
      </c>
      <c r="I38" s="191">
        <v>449000000</v>
      </c>
      <c r="J38" s="152"/>
      <c r="K38" s="153"/>
      <c r="L38" s="1029"/>
      <c r="N38" s="153"/>
    </row>
    <row r="39" spans="1:14" s="147" customFormat="1" ht="15.75" customHeight="1">
      <c r="A39" s="171"/>
      <c r="B39" s="186"/>
      <c r="C39" s="874"/>
      <c r="D39" s="875"/>
      <c r="E39" s="874"/>
      <c r="F39" s="721" t="s">
        <v>156</v>
      </c>
      <c r="G39" s="190">
        <f t="shared" si="1"/>
        <v>190000000</v>
      </c>
      <c r="H39" s="188">
        <v>12</v>
      </c>
      <c r="I39" s="191">
        <f>477000000+905000000+332000000+366000000+200000000</f>
        <v>2280000000</v>
      </c>
      <c r="J39" s="152"/>
      <c r="K39" s="153"/>
      <c r="L39" s="1029"/>
      <c r="N39" s="153"/>
    </row>
    <row r="40" spans="1:14" s="147" customFormat="1" ht="15.75" customHeight="1">
      <c r="A40" s="171"/>
      <c r="B40" s="192"/>
      <c r="C40" s="876"/>
      <c r="D40" s="878"/>
      <c r="E40" s="876"/>
      <c r="F40" s="193" t="s">
        <v>266</v>
      </c>
      <c r="G40" s="461"/>
      <c r="H40" s="195"/>
      <c r="I40" s="194">
        <f>SUM(I34:I39)</f>
        <v>9636000000</v>
      </c>
      <c r="J40" s="152"/>
      <c r="K40" s="153"/>
      <c r="L40" s="1029"/>
      <c r="N40" s="153"/>
    </row>
    <row r="41" spans="1:14" s="147" customFormat="1" ht="15.75" customHeight="1">
      <c r="A41" s="249"/>
      <c r="B41" s="250" t="s">
        <v>157</v>
      </c>
      <c r="C41" s="879">
        <v>103000000</v>
      </c>
      <c r="D41" s="880">
        <v>53000000</v>
      </c>
      <c r="E41" s="879">
        <f>C41-D41</f>
        <v>50000000</v>
      </c>
      <c r="F41" s="251" t="s">
        <v>158</v>
      </c>
      <c r="G41" s="462"/>
      <c r="H41" s="252" t="s">
        <v>92</v>
      </c>
      <c r="I41" s="255">
        <f>+C41</f>
        <v>103000000</v>
      </c>
      <c r="J41" s="152"/>
      <c r="K41" s="153"/>
      <c r="L41" s="1029"/>
      <c r="N41" s="153"/>
    </row>
    <row r="42" spans="1:14" s="147" customFormat="1" ht="15.75" customHeight="1">
      <c r="A42" s="171" t="s">
        <v>338</v>
      </c>
      <c r="B42" s="186" t="s">
        <v>159</v>
      </c>
      <c r="C42" s="874">
        <v>92000000</v>
      </c>
      <c r="D42" s="875">
        <v>62000000</v>
      </c>
      <c r="E42" s="874">
        <f>C42-D42</f>
        <v>30000000</v>
      </c>
      <c r="F42" s="721" t="s">
        <v>160</v>
      </c>
      <c r="G42" s="190">
        <f>I42/H42</f>
        <v>1000000</v>
      </c>
      <c r="H42" s="188">
        <v>12</v>
      </c>
      <c r="I42" s="191">
        <v>12000000</v>
      </c>
      <c r="J42" s="152"/>
      <c r="K42" s="153"/>
      <c r="L42" s="1029"/>
      <c r="N42" s="153"/>
    </row>
    <row r="43" spans="1:14" s="147" customFormat="1" ht="15.75" customHeight="1">
      <c r="A43" s="171"/>
      <c r="B43" s="186"/>
      <c r="C43" s="874"/>
      <c r="D43" s="875"/>
      <c r="E43" s="874"/>
      <c r="F43" s="721" t="s">
        <v>161</v>
      </c>
      <c r="G43" s="190">
        <f>I43/H43</f>
        <v>666666.6666666666</v>
      </c>
      <c r="H43" s="188">
        <v>12</v>
      </c>
      <c r="I43" s="191">
        <v>8000000</v>
      </c>
      <c r="J43" s="152"/>
      <c r="K43" s="153"/>
      <c r="L43" s="1029"/>
      <c r="N43" s="153"/>
    </row>
    <row r="44" spans="1:14" s="147" customFormat="1" ht="15.75" customHeight="1">
      <c r="A44" s="171"/>
      <c r="B44" s="186"/>
      <c r="C44" s="874"/>
      <c r="D44" s="875"/>
      <c r="E44" s="874"/>
      <c r="F44" s="721" t="s">
        <v>162</v>
      </c>
      <c r="G44" s="190">
        <f>I44/H44</f>
        <v>1166666.6666666667</v>
      </c>
      <c r="H44" s="188">
        <v>12</v>
      </c>
      <c r="I44" s="191">
        <v>14000000</v>
      </c>
      <c r="J44" s="152"/>
      <c r="K44" s="153"/>
      <c r="L44" s="1029"/>
      <c r="N44" s="153"/>
    </row>
    <row r="45" spans="1:14" s="147" customFormat="1" ht="15.75" customHeight="1">
      <c r="A45" s="171"/>
      <c r="B45" s="186"/>
      <c r="C45" s="874"/>
      <c r="D45" s="875"/>
      <c r="E45" s="874"/>
      <c r="F45" s="721" t="s">
        <v>46</v>
      </c>
      <c r="G45" s="190">
        <f>I45/H45</f>
        <v>4833333.333333333</v>
      </c>
      <c r="H45" s="188">
        <v>12</v>
      </c>
      <c r="I45" s="191">
        <f>11000000+17000000+30000000</f>
        <v>58000000</v>
      </c>
      <c r="J45" s="152"/>
      <c r="K45" s="153"/>
      <c r="L45" s="1029"/>
      <c r="N45" s="153"/>
    </row>
    <row r="46" spans="1:14" s="147" customFormat="1" ht="15.75" customHeight="1">
      <c r="A46" s="171"/>
      <c r="B46" s="192"/>
      <c r="C46" s="876"/>
      <c r="D46" s="878"/>
      <c r="E46" s="876"/>
      <c r="F46" s="193" t="s">
        <v>266</v>
      </c>
      <c r="G46" s="460"/>
      <c r="H46" s="182"/>
      <c r="I46" s="194">
        <f>SUM(I42:I45)</f>
        <v>92000000</v>
      </c>
      <c r="J46" s="152"/>
      <c r="K46" s="153"/>
      <c r="L46" s="1029"/>
      <c r="N46" s="153"/>
    </row>
    <row r="47" spans="1:14" s="147" customFormat="1" ht="15.75" customHeight="1">
      <c r="A47" s="171"/>
      <c r="B47" s="165" t="s">
        <v>163</v>
      </c>
      <c r="C47" s="867">
        <v>100000000</v>
      </c>
      <c r="D47" s="868">
        <v>0</v>
      </c>
      <c r="E47" s="867">
        <f>C47-D47</f>
        <v>100000000</v>
      </c>
      <c r="F47" s="166" t="s">
        <v>164</v>
      </c>
      <c r="G47" s="459"/>
      <c r="H47" s="168"/>
      <c r="I47" s="458">
        <f>+C47</f>
        <v>100000000</v>
      </c>
      <c r="J47" s="152"/>
      <c r="K47" s="153"/>
      <c r="L47" s="1029"/>
      <c r="N47" s="153"/>
    </row>
    <row r="48" spans="1:14" s="147" customFormat="1" ht="15.75" customHeight="1">
      <c r="A48" s="164" t="s">
        <v>339</v>
      </c>
      <c r="B48" s="165"/>
      <c r="C48" s="867">
        <f>SUM(C49:C74)</f>
        <v>11911000000</v>
      </c>
      <c r="D48" s="868">
        <f>+D49+D52+D57+D60+D61+D62+D63+D66+D74</f>
        <v>9476000000</v>
      </c>
      <c r="E48" s="867">
        <f>C48-D48</f>
        <v>2435000000</v>
      </c>
      <c r="F48" s="166"/>
      <c r="G48" s="459"/>
      <c r="H48" s="168"/>
      <c r="I48" s="458"/>
      <c r="J48" s="152"/>
      <c r="K48" s="153"/>
      <c r="L48" s="1029"/>
      <c r="N48" s="153"/>
    </row>
    <row r="49" spans="1:14" s="147" customFormat="1" ht="15.75" customHeight="1">
      <c r="A49" s="171"/>
      <c r="B49" s="183" t="s">
        <v>165</v>
      </c>
      <c r="C49" s="872">
        <v>220000000</v>
      </c>
      <c r="D49" s="877">
        <v>170000000</v>
      </c>
      <c r="E49" s="872">
        <f>C49-D49</f>
        <v>50000000</v>
      </c>
      <c r="F49" s="184" t="s">
        <v>287</v>
      </c>
      <c r="G49" s="190">
        <f>I49/H49</f>
        <v>10000000</v>
      </c>
      <c r="H49" s="185">
        <v>12</v>
      </c>
      <c r="I49" s="474">
        <f>41000000+29000000+50000000</f>
        <v>120000000</v>
      </c>
      <c r="J49" s="152"/>
      <c r="K49" s="153"/>
      <c r="L49" s="1029"/>
      <c r="N49" s="153"/>
    </row>
    <row r="50" spans="1:14" s="147" customFormat="1" ht="15.75" customHeight="1">
      <c r="A50" s="171"/>
      <c r="B50" s="186"/>
      <c r="C50" s="874"/>
      <c r="D50" s="875"/>
      <c r="E50" s="874"/>
      <c r="F50" s="721" t="s">
        <v>288</v>
      </c>
      <c r="G50" s="190">
        <f>I50/H50</f>
        <v>8333333.333333333</v>
      </c>
      <c r="H50" s="188">
        <v>12</v>
      </c>
      <c r="I50" s="191">
        <v>100000000</v>
      </c>
      <c r="J50" s="152"/>
      <c r="K50" s="153"/>
      <c r="L50" s="1029"/>
      <c r="N50" s="153"/>
    </row>
    <row r="51" spans="1:14" s="147" customFormat="1" ht="15.75" customHeight="1">
      <c r="A51" s="171"/>
      <c r="B51" s="192"/>
      <c r="C51" s="876"/>
      <c r="D51" s="878"/>
      <c r="E51" s="876"/>
      <c r="F51" s="193" t="s">
        <v>266</v>
      </c>
      <c r="G51" s="461"/>
      <c r="H51" s="195"/>
      <c r="I51" s="194">
        <f>SUM(I49:I50)</f>
        <v>220000000</v>
      </c>
      <c r="J51" s="152"/>
      <c r="K51" s="153"/>
      <c r="L51" s="1029"/>
      <c r="N51" s="153"/>
    </row>
    <row r="52" spans="1:14" s="147" customFormat="1" ht="15.75" customHeight="1">
      <c r="A52" s="171"/>
      <c r="B52" s="186" t="s">
        <v>166</v>
      </c>
      <c r="C52" s="872">
        <v>191000000</v>
      </c>
      <c r="D52" s="877">
        <v>171000000</v>
      </c>
      <c r="E52" s="872">
        <f>C52-D52</f>
        <v>20000000</v>
      </c>
      <c r="F52" s="184" t="s">
        <v>167</v>
      </c>
      <c r="G52" s="190">
        <f>I52/H52</f>
        <v>6000000</v>
      </c>
      <c r="H52" s="185">
        <v>1</v>
      </c>
      <c r="I52" s="474">
        <v>6000000</v>
      </c>
      <c r="J52" s="152"/>
      <c r="K52" s="153"/>
      <c r="L52" s="1029"/>
      <c r="N52" s="153"/>
    </row>
    <row r="53" spans="1:14" s="147" customFormat="1" ht="15.75" customHeight="1">
      <c r="A53" s="171"/>
      <c r="B53" s="186"/>
      <c r="C53" s="874"/>
      <c r="D53" s="875"/>
      <c r="E53" s="874"/>
      <c r="F53" s="721" t="s">
        <v>168</v>
      </c>
      <c r="G53" s="190">
        <f>I53/H53</f>
        <v>2083333.3333333333</v>
      </c>
      <c r="H53" s="188">
        <v>12</v>
      </c>
      <c r="I53" s="191">
        <v>25000000</v>
      </c>
      <c r="J53" s="152"/>
      <c r="K53" s="153"/>
      <c r="L53" s="1029"/>
      <c r="N53" s="153"/>
    </row>
    <row r="54" spans="1:14" s="147" customFormat="1" ht="15.75" customHeight="1">
      <c r="A54" s="171"/>
      <c r="B54" s="186"/>
      <c r="C54" s="874"/>
      <c r="D54" s="875"/>
      <c r="E54" s="874"/>
      <c r="F54" s="721" t="s">
        <v>289</v>
      </c>
      <c r="G54" s="190">
        <f>I54/H54</f>
        <v>8166666.666666667</v>
      </c>
      <c r="H54" s="188">
        <v>12</v>
      </c>
      <c r="I54" s="191">
        <f>88000000+10000000</f>
        <v>98000000</v>
      </c>
      <c r="J54" s="152"/>
      <c r="K54" s="153"/>
      <c r="L54" s="1029"/>
      <c r="N54" s="153"/>
    </row>
    <row r="55" spans="1:14" s="147" customFormat="1" ht="15.75" customHeight="1">
      <c r="A55" s="171"/>
      <c r="B55" s="186"/>
      <c r="C55" s="874"/>
      <c r="D55" s="875"/>
      <c r="E55" s="874"/>
      <c r="F55" s="721" t="s">
        <v>290</v>
      </c>
      <c r="G55" s="190">
        <f>I55/H55</f>
        <v>5166666.666666667</v>
      </c>
      <c r="H55" s="188">
        <v>12</v>
      </c>
      <c r="I55" s="191">
        <f>52000000+10000000</f>
        <v>62000000</v>
      </c>
      <c r="J55" s="152"/>
      <c r="K55" s="153"/>
      <c r="L55" s="1029"/>
      <c r="N55" s="153"/>
    </row>
    <row r="56" spans="1:14" s="147" customFormat="1" ht="15.75" customHeight="1">
      <c r="A56" s="171"/>
      <c r="B56" s="192"/>
      <c r="C56" s="876"/>
      <c r="D56" s="878"/>
      <c r="E56" s="876"/>
      <c r="F56" s="193" t="s">
        <v>147</v>
      </c>
      <c r="G56" s="461"/>
      <c r="H56" s="195"/>
      <c r="I56" s="194">
        <f>SUM(I52:I55)</f>
        <v>191000000</v>
      </c>
      <c r="J56" s="152"/>
      <c r="K56" s="153"/>
      <c r="L56" s="1029"/>
      <c r="N56" s="153"/>
    </row>
    <row r="57" spans="1:14" s="147" customFormat="1" ht="15.75" customHeight="1">
      <c r="A57" s="171"/>
      <c r="B57" s="183" t="s">
        <v>169</v>
      </c>
      <c r="C57" s="872">
        <v>1340000000</v>
      </c>
      <c r="D57" s="877">
        <v>840000000</v>
      </c>
      <c r="E57" s="872">
        <f>C57-D57</f>
        <v>500000000</v>
      </c>
      <c r="F57" s="196" t="s">
        <v>263</v>
      </c>
      <c r="G57" s="244">
        <f>I57/H57</f>
        <v>15166666.666666666</v>
      </c>
      <c r="H57" s="197">
        <v>12</v>
      </c>
      <c r="I57" s="245">
        <f>82000000+100000000</f>
        <v>182000000</v>
      </c>
      <c r="J57" s="152"/>
      <c r="K57" s="153"/>
      <c r="L57" s="1029"/>
      <c r="N57" s="153"/>
    </row>
    <row r="58" spans="1:14" s="147" customFormat="1" ht="15.75" customHeight="1">
      <c r="A58" s="171"/>
      <c r="B58" s="186"/>
      <c r="C58" s="874"/>
      <c r="D58" s="875"/>
      <c r="E58" s="874"/>
      <c r="F58" s="198" t="s">
        <v>262</v>
      </c>
      <c r="G58" s="463">
        <f>I58/H58</f>
        <v>96500000</v>
      </c>
      <c r="H58" s="199">
        <v>12</v>
      </c>
      <c r="I58" s="475">
        <f>758000000+400000000</f>
        <v>1158000000</v>
      </c>
      <c r="J58" s="152"/>
      <c r="K58" s="153"/>
      <c r="L58" s="1029"/>
      <c r="N58" s="153"/>
    </row>
    <row r="59" spans="1:14" s="147" customFormat="1" ht="15.75" customHeight="1">
      <c r="A59" s="171"/>
      <c r="B59" s="192"/>
      <c r="C59" s="876"/>
      <c r="D59" s="878"/>
      <c r="E59" s="876"/>
      <c r="F59" s="193" t="s">
        <v>147</v>
      </c>
      <c r="G59" s="461" t="s">
        <v>20</v>
      </c>
      <c r="H59" s="195"/>
      <c r="I59" s="194">
        <f>SUM(I57:I58)</f>
        <v>1340000000</v>
      </c>
      <c r="J59" s="152"/>
      <c r="K59" s="153"/>
      <c r="L59" s="1029"/>
      <c r="N59" s="153"/>
    </row>
    <row r="60" spans="1:14" s="147" customFormat="1" ht="15.75" customHeight="1">
      <c r="A60" s="171"/>
      <c r="B60" s="192" t="s">
        <v>170</v>
      </c>
      <c r="C60" s="876">
        <f>429000000+200000000</f>
        <v>629000000</v>
      </c>
      <c r="D60" s="868">
        <v>429000000</v>
      </c>
      <c r="E60" s="876">
        <f>C60-D60</f>
        <v>200000000</v>
      </c>
      <c r="F60" s="181" t="s">
        <v>171</v>
      </c>
      <c r="G60" s="460">
        <f>I60/H60</f>
        <v>52416666.666666664</v>
      </c>
      <c r="H60" s="182">
        <v>12</v>
      </c>
      <c r="I60" s="194">
        <f>+C60</f>
        <v>629000000</v>
      </c>
      <c r="J60" s="152">
        <f>D60*3%</f>
        <v>12870000</v>
      </c>
      <c r="K60" s="153"/>
      <c r="L60" s="1029"/>
      <c r="N60" s="153"/>
    </row>
    <row r="61" spans="1:14" s="147" customFormat="1" ht="15.75" customHeight="1">
      <c r="A61" s="171"/>
      <c r="B61" s="165" t="s">
        <v>172</v>
      </c>
      <c r="C61" s="867">
        <f>1040000000+300000000</f>
        <v>1340000000</v>
      </c>
      <c r="D61" s="868">
        <v>1040000000</v>
      </c>
      <c r="E61" s="867">
        <f>C61-D61</f>
        <v>300000000</v>
      </c>
      <c r="F61" s="200" t="s">
        <v>173</v>
      </c>
      <c r="G61" s="464">
        <f>I61/H61</f>
        <v>111666666.66666667</v>
      </c>
      <c r="H61" s="201">
        <v>12</v>
      </c>
      <c r="I61" s="476">
        <f>+C61</f>
        <v>1340000000</v>
      </c>
      <c r="J61" s="152">
        <f>D61*3%</f>
        <v>31200000</v>
      </c>
      <c r="K61" s="153"/>
      <c r="L61" s="1029"/>
      <c r="N61" s="153"/>
    </row>
    <row r="62" spans="1:14" s="147" customFormat="1" ht="15.75" customHeight="1">
      <c r="A62" s="171"/>
      <c r="B62" s="183" t="s">
        <v>174</v>
      </c>
      <c r="C62" s="872">
        <f>2587000000+700000000</f>
        <v>3287000000</v>
      </c>
      <c r="D62" s="877">
        <v>2587000000</v>
      </c>
      <c r="E62" s="872">
        <f>C62-D62</f>
        <v>700000000</v>
      </c>
      <c r="F62" s="200" t="s">
        <v>1082</v>
      </c>
      <c r="G62" s="464"/>
      <c r="H62" s="201"/>
      <c r="I62" s="843">
        <f>+C62</f>
        <v>3287000000</v>
      </c>
      <c r="J62" s="202"/>
      <c r="K62" s="153"/>
      <c r="L62" s="1029"/>
      <c r="N62" s="153"/>
    </row>
    <row r="63" spans="1:14" s="147" customFormat="1" ht="15.75" customHeight="1">
      <c r="A63" s="171"/>
      <c r="B63" s="183" t="s">
        <v>175</v>
      </c>
      <c r="C63" s="872">
        <v>315000000</v>
      </c>
      <c r="D63" s="877">
        <v>215000000</v>
      </c>
      <c r="E63" s="872">
        <f>C63-D63</f>
        <v>100000000</v>
      </c>
      <c r="F63" s="721" t="s">
        <v>176</v>
      </c>
      <c r="G63" s="190">
        <f>I63/H63</f>
        <v>16666666.666666666</v>
      </c>
      <c r="H63" s="188">
        <v>12</v>
      </c>
      <c r="I63" s="474">
        <f>120000000+80000000</f>
        <v>200000000</v>
      </c>
      <c r="J63" s="152">
        <f>D63*3%</f>
        <v>6450000</v>
      </c>
      <c r="K63" s="153"/>
      <c r="L63" s="1029"/>
      <c r="N63" s="153"/>
    </row>
    <row r="64" spans="1:14" s="147" customFormat="1" ht="15.75" customHeight="1">
      <c r="A64" s="171"/>
      <c r="B64" s="186"/>
      <c r="C64" s="874"/>
      <c r="D64" s="875"/>
      <c r="E64" s="874"/>
      <c r="F64" s="721" t="s">
        <v>177</v>
      </c>
      <c r="G64" s="190">
        <f>I64/H64</f>
        <v>9583333.333333334</v>
      </c>
      <c r="H64" s="188">
        <v>12</v>
      </c>
      <c r="I64" s="191">
        <f>95000000+20000000</f>
        <v>115000000</v>
      </c>
      <c r="J64" s="152"/>
      <c r="K64" s="153"/>
      <c r="L64" s="1029"/>
      <c r="N64" s="153"/>
    </row>
    <row r="65" spans="1:14" s="147" customFormat="1" ht="15.75" customHeight="1">
      <c r="A65" s="171"/>
      <c r="B65" s="192"/>
      <c r="C65" s="876"/>
      <c r="D65" s="878"/>
      <c r="E65" s="876"/>
      <c r="F65" s="193" t="s">
        <v>147</v>
      </c>
      <c r="G65" s="461"/>
      <c r="H65" s="195"/>
      <c r="I65" s="194">
        <f>I63+I64</f>
        <v>315000000</v>
      </c>
      <c r="J65" s="152"/>
      <c r="K65" s="153"/>
      <c r="L65" s="1029"/>
      <c r="N65" s="153"/>
    </row>
    <row r="66" spans="1:14" s="147" customFormat="1" ht="15.75" customHeight="1">
      <c r="A66" s="171"/>
      <c r="B66" s="186" t="s">
        <v>178</v>
      </c>
      <c r="C66" s="874">
        <v>2379000000</v>
      </c>
      <c r="D66" s="875">
        <v>2279000000</v>
      </c>
      <c r="E66" s="874">
        <f>C66-D66</f>
        <v>100000000</v>
      </c>
      <c r="F66" s="721" t="s">
        <v>567</v>
      </c>
      <c r="G66" s="190">
        <f aca="true" t="shared" si="2" ref="G66:G71">I66/H66</f>
        <v>27256833.333333332</v>
      </c>
      <c r="H66" s="188">
        <v>12</v>
      </c>
      <c r="I66" s="191">
        <v>327082000</v>
      </c>
      <c r="J66" s="152"/>
      <c r="K66" s="153"/>
      <c r="L66" s="1029"/>
      <c r="N66" s="153"/>
    </row>
    <row r="67" spans="1:14" s="147" customFormat="1" ht="15.75" customHeight="1">
      <c r="A67" s="171"/>
      <c r="B67" s="186"/>
      <c r="C67" s="874"/>
      <c r="D67" s="875"/>
      <c r="E67" s="874"/>
      <c r="F67" s="721" t="s">
        <v>568</v>
      </c>
      <c r="G67" s="190">
        <f t="shared" si="2"/>
        <v>306666666.6666667</v>
      </c>
      <c r="H67" s="188">
        <v>3</v>
      </c>
      <c r="I67" s="191">
        <v>920000000</v>
      </c>
      <c r="J67" s="152"/>
      <c r="K67" s="153"/>
      <c r="L67" s="1029"/>
      <c r="N67" s="153"/>
    </row>
    <row r="68" spans="1:14" s="147" customFormat="1" ht="15.75" customHeight="1">
      <c r="A68" s="171"/>
      <c r="B68" s="186"/>
      <c r="C68" s="874"/>
      <c r="D68" s="875"/>
      <c r="E68" s="874"/>
      <c r="F68" s="721" t="s">
        <v>565</v>
      </c>
      <c r="G68" s="190">
        <f t="shared" si="2"/>
        <v>250000000</v>
      </c>
      <c r="H68" s="188">
        <v>1</v>
      </c>
      <c r="I68" s="191">
        <v>250000000</v>
      </c>
      <c r="J68" s="152"/>
      <c r="K68" s="153"/>
      <c r="L68" s="1029"/>
      <c r="N68" s="153"/>
    </row>
    <row r="69" spans="1:14" s="147" customFormat="1" ht="15.75" customHeight="1">
      <c r="A69" s="171"/>
      <c r="B69" s="186"/>
      <c r="C69" s="874"/>
      <c r="D69" s="875"/>
      <c r="E69" s="874"/>
      <c r="F69" s="721" t="s">
        <v>566</v>
      </c>
      <c r="G69" s="190">
        <f t="shared" si="2"/>
        <v>220845000</v>
      </c>
      <c r="H69" s="188">
        <v>1</v>
      </c>
      <c r="I69" s="191">
        <v>220845000</v>
      </c>
      <c r="J69" s="152"/>
      <c r="K69" s="153"/>
      <c r="L69" s="1029"/>
      <c r="N69" s="153"/>
    </row>
    <row r="70" spans="1:14" s="147" customFormat="1" ht="15.75" customHeight="1">
      <c r="A70" s="171"/>
      <c r="B70" s="186"/>
      <c r="C70" s="874"/>
      <c r="D70" s="875"/>
      <c r="E70" s="874"/>
      <c r="F70" s="721" t="s">
        <v>352</v>
      </c>
      <c r="G70" s="190">
        <f t="shared" si="2"/>
        <v>312000000</v>
      </c>
      <c r="H70" s="188">
        <v>1</v>
      </c>
      <c r="I70" s="191">
        <v>312000000</v>
      </c>
      <c r="J70" s="152"/>
      <c r="K70" s="153"/>
      <c r="L70" s="1029"/>
      <c r="N70" s="153"/>
    </row>
    <row r="71" spans="1:14" s="147" customFormat="1" ht="15.75" customHeight="1">
      <c r="A71" s="171"/>
      <c r="B71" s="186"/>
      <c r="C71" s="874"/>
      <c r="D71" s="875"/>
      <c r="E71" s="874"/>
      <c r="F71" s="721" t="s">
        <v>350</v>
      </c>
      <c r="G71" s="190">
        <f t="shared" si="2"/>
        <v>29089416.666666668</v>
      </c>
      <c r="H71" s="188">
        <v>12</v>
      </c>
      <c r="I71" s="191">
        <f>249073000+100000000</f>
        <v>349073000</v>
      </c>
      <c r="J71" s="152"/>
      <c r="K71" s="153"/>
      <c r="L71" s="1029"/>
      <c r="N71" s="153"/>
    </row>
    <row r="72" spans="1:14" s="147" customFormat="1" ht="15.75" customHeight="1">
      <c r="A72" s="171"/>
      <c r="B72" s="186"/>
      <c r="C72" s="874"/>
      <c r="D72" s="875"/>
      <c r="E72" s="874"/>
      <c r="F72" s="721"/>
      <c r="G72" s="190"/>
      <c r="H72" s="188"/>
      <c r="I72" s="191"/>
      <c r="J72" s="152"/>
      <c r="K72" s="153"/>
      <c r="L72" s="1029"/>
      <c r="N72" s="153"/>
    </row>
    <row r="73" spans="1:14" s="147" customFormat="1" ht="15.75" customHeight="1">
      <c r="A73" s="171"/>
      <c r="B73" s="186"/>
      <c r="C73" s="874"/>
      <c r="D73" s="875"/>
      <c r="E73" s="876"/>
      <c r="F73" s="203" t="s">
        <v>147</v>
      </c>
      <c r="G73" s="465"/>
      <c r="H73" s="204"/>
      <c r="I73" s="205">
        <f>SUM(I66:I72)</f>
        <v>2379000000</v>
      </c>
      <c r="J73" s="152"/>
      <c r="K73" s="153"/>
      <c r="L73" s="1029"/>
      <c r="N73" s="153"/>
    </row>
    <row r="74" spans="1:14" s="147" customFormat="1" ht="15.75" customHeight="1">
      <c r="A74" s="171"/>
      <c r="B74" s="183" t="s">
        <v>179</v>
      </c>
      <c r="C74" s="881">
        <v>2210000000</v>
      </c>
      <c r="D74" s="877">
        <v>1745000000</v>
      </c>
      <c r="E74" s="872">
        <f>C74-D74</f>
        <v>465000000</v>
      </c>
      <c r="F74" s="206" t="s">
        <v>180</v>
      </c>
      <c r="G74" s="244">
        <f>I74/H74</f>
        <v>73333333.33333333</v>
      </c>
      <c r="H74" s="207">
        <v>12</v>
      </c>
      <c r="I74" s="245">
        <v>880000000</v>
      </c>
      <c r="J74" s="152">
        <f>D74*3%</f>
        <v>52350000</v>
      </c>
      <c r="K74" s="153"/>
      <c r="L74" s="1029"/>
      <c r="N74" s="153"/>
    </row>
    <row r="75" spans="1:14" s="147" customFormat="1" ht="15.75" customHeight="1">
      <c r="A75" s="171"/>
      <c r="B75" s="186"/>
      <c r="C75" s="874"/>
      <c r="D75" s="875"/>
      <c r="E75" s="874"/>
      <c r="F75" s="721" t="s">
        <v>181</v>
      </c>
      <c r="G75" s="190">
        <f>I75/H75</f>
        <v>110833333.33333333</v>
      </c>
      <c r="H75" s="188">
        <v>12</v>
      </c>
      <c r="I75" s="191">
        <f>930000000+400000000</f>
        <v>1330000000</v>
      </c>
      <c r="J75" s="152"/>
      <c r="K75" s="153"/>
      <c r="L75" s="1029"/>
      <c r="N75" s="153"/>
    </row>
    <row r="76" spans="1:14" s="147" customFormat="1" ht="15.75" customHeight="1">
      <c r="A76" s="171"/>
      <c r="B76" s="186"/>
      <c r="C76" s="874"/>
      <c r="D76" s="875"/>
      <c r="E76" s="874"/>
      <c r="F76" s="721"/>
      <c r="G76" s="190"/>
      <c r="H76" s="188"/>
      <c r="I76" s="191"/>
      <c r="J76" s="152"/>
      <c r="K76" s="153"/>
      <c r="L76" s="1029"/>
      <c r="N76" s="153"/>
    </row>
    <row r="77" spans="1:14" s="147" customFormat="1" ht="15.75" customHeight="1">
      <c r="A77" s="249"/>
      <c r="B77" s="250"/>
      <c r="C77" s="882"/>
      <c r="D77" s="883"/>
      <c r="E77" s="882"/>
      <c r="F77" s="253" t="s">
        <v>147</v>
      </c>
      <c r="G77" s="462"/>
      <c r="H77" s="252"/>
      <c r="I77" s="255">
        <f>SUM(I74:I76)</f>
        <v>2210000000</v>
      </c>
      <c r="J77" s="152"/>
      <c r="K77" s="153"/>
      <c r="L77" s="1029"/>
      <c r="N77" s="153"/>
    </row>
    <row r="78" spans="1:14" s="147" customFormat="1" ht="15.75" customHeight="1">
      <c r="A78" s="178" t="s">
        <v>182</v>
      </c>
      <c r="B78" s="192"/>
      <c r="C78" s="876">
        <f>SUM(C79:C98)</f>
        <v>2644310000</v>
      </c>
      <c r="D78" s="878">
        <f>+D79+D82+D94+D95+D98</f>
        <v>1951000000</v>
      </c>
      <c r="E78" s="876">
        <f>C78-D78</f>
        <v>693310000</v>
      </c>
      <c r="F78" s="181"/>
      <c r="G78" s="460"/>
      <c r="H78" s="182"/>
      <c r="I78" s="473"/>
      <c r="J78" s="152"/>
      <c r="K78" s="153"/>
      <c r="L78" s="1029"/>
      <c r="N78" s="153"/>
    </row>
    <row r="79" spans="1:14" s="147" customFormat="1" ht="15.75" customHeight="1">
      <c r="A79" s="170"/>
      <c r="B79" s="208" t="s">
        <v>183</v>
      </c>
      <c r="C79" s="872">
        <v>957000000</v>
      </c>
      <c r="D79" s="877">
        <v>757000000</v>
      </c>
      <c r="E79" s="872">
        <f>C79-D79</f>
        <v>200000000</v>
      </c>
      <c r="F79" s="721" t="s">
        <v>569</v>
      </c>
      <c r="G79" s="190">
        <f>I79/H79</f>
        <v>76250000</v>
      </c>
      <c r="H79" s="188">
        <v>12</v>
      </c>
      <c r="I79" s="191">
        <f>735000000+180000000</f>
        <v>915000000</v>
      </c>
      <c r="J79" s="152"/>
      <c r="K79" s="153"/>
      <c r="L79" s="1029"/>
      <c r="N79" s="153"/>
    </row>
    <row r="80" spans="1:14" s="147" customFormat="1" ht="15.75" customHeight="1">
      <c r="A80" s="171"/>
      <c r="B80" s="209"/>
      <c r="C80" s="874"/>
      <c r="D80" s="875"/>
      <c r="E80" s="874"/>
      <c r="F80" s="721" t="s">
        <v>570</v>
      </c>
      <c r="G80" s="190">
        <f>I80/H80</f>
        <v>3500000</v>
      </c>
      <c r="H80" s="188">
        <v>12</v>
      </c>
      <c r="I80" s="191">
        <f>21450000+550000+20000000</f>
        <v>42000000</v>
      </c>
      <c r="J80" s="152"/>
      <c r="K80" s="153"/>
      <c r="L80" s="1029"/>
      <c r="N80" s="153"/>
    </row>
    <row r="81" spans="1:14" s="147" customFormat="1" ht="15.75" customHeight="1">
      <c r="A81" s="171"/>
      <c r="B81" s="192"/>
      <c r="C81" s="876"/>
      <c r="D81" s="878"/>
      <c r="E81" s="876"/>
      <c r="F81" s="193" t="s">
        <v>147</v>
      </c>
      <c r="G81" s="461"/>
      <c r="H81" s="195"/>
      <c r="I81" s="194">
        <f>SUM(I79:I80)</f>
        <v>957000000</v>
      </c>
      <c r="J81" s="152"/>
      <c r="K81" s="153"/>
      <c r="L81" s="1029"/>
      <c r="N81" s="153"/>
    </row>
    <row r="82" spans="1:14" s="147" customFormat="1" ht="15.75" customHeight="1">
      <c r="A82" s="171"/>
      <c r="B82" s="183" t="s">
        <v>184</v>
      </c>
      <c r="C82" s="872">
        <f>+I90</f>
        <v>560000000</v>
      </c>
      <c r="D82" s="877">
        <v>560000000</v>
      </c>
      <c r="E82" s="872">
        <f>C82-D82</f>
        <v>0</v>
      </c>
      <c r="F82" s="721" t="s">
        <v>272</v>
      </c>
      <c r="G82" s="190">
        <f>I82/H82</f>
        <v>30958333.333333332</v>
      </c>
      <c r="H82" s="188">
        <v>12</v>
      </c>
      <c r="I82" s="191">
        <f>380000000-8500000</f>
        <v>371500000</v>
      </c>
      <c r="J82" s="152">
        <v>322288</v>
      </c>
      <c r="K82" s="153">
        <f>J82-I90</f>
        <v>-559677712</v>
      </c>
      <c r="L82" s="1029"/>
      <c r="N82" s="153"/>
    </row>
    <row r="83" spans="1:14" s="147" customFormat="1" ht="15.75" customHeight="1">
      <c r="A83" s="171"/>
      <c r="B83" s="186"/>
      <c r="C83" s="874"/>
      <c r="D83" s="875"/>
      <c r="E83" s="874"/>
      <c r="F83" s="721" t="s">
        <v>269</v>
      </c>
      <c r="G83" s="190">
        <f>I83/H83</f>
        <v>15000000</v>
      </c>
      <c r="H83" s="188">
        <v>12</v>
      </c>
      <c r="I83" s="191">
        <v>180000000</v>
      </c>
      <c r="J83" s="152"/>
      <c r="K83" s="153"/>
      <c r="L83" s="1029"/>
      <c r="N83" s="153"/>
    </row>
    <row r="84" spans="1:14" s="147" customFormat="1" ht="15.75" customHeight="1">
      <c r="A84" s="171"/>
      <c r="B84" s="186"/>
      <c r="C84" s="874"/>
      <c r="D84" s="875"/>
      <c r="E84" s="874"/>
      <c r="F84" s="721" t="s">
        <v>270</v>
      </c>
      <c r="G84" s="190">
        <f>I84/H84</f>
        <v>125000</v>
      </c>
      <c r="H84" s="188">
        <v>12</v>
      </c>
      <c r="I84" s="191">
        <v>1500000</v>
      </c>
      <c r="J84" s="152"/>
      <c r="K84" s="153"/>
      <c r="L84" s="1029"/>
      <c r="N84" s="153"/>
    </row>
    <row r="85" spans="1:14" s="147" customFormat="1" ht="15.75" customHeight="1">
      <c r="A85" s="171"/>
      <c r="B85" s="186"/>
      <c r="C85" s="874"/>
      <c r="D85" s="875"/>
      <c r="E85" s="874"/>
      <c r="F85" s="721" t="s">
        <v>271</v>
      </c>
      <c r="G85" s="190">
        <f>I85/H85</f>
        <v>83333.33333333333</v>
      </c>
      <c r="H85" s="188">
        <v>12</v>
      </c>
      <c r="I85" s="191">
        <v>1000000</v>
      </c>
      <c r="J85" s="152"/>
      <c r="K85" s="153"/>
      <c r="L85" s="1029"/>
      <c r="N85" s="153"/>
    </row>
    <row r="86" spans="1:14" s="147" customFormat="1" ht="15.75" customHeight="1">
      <c r="A86" s="171"/>
      <c r="B86" s="186"/>
      <c r="C86" s="874"/>
      <c r="D86" s="875"/>
      <c r="E86" s="874"/>
      <c r="F86" s="721" t="s">
        <v>293</v>
      </c>
      <c r="G86" s="190">
        <f>I86/H86</f>
        <v>83333.33333333333</v>
      </c>
      <c r="H86" s="188">
        <v>12</v>
      </c>
      <c r="I86" s="191">
        <v>1000000</v>
      </c>
      <c r="J86" s="152"/>
      <c r="K86" s="153"/>
      <c r="L86" s="1029"/>
      <c r="N86" s="153"/>
    </row>
    <row r="87" spans="1:14" s="147" customFormat="1" ht="15.75" customHeight="1">
      <c r="A87" s="171"/>
      <c r="B87" s="186"/>
      <c r="C87" s="874"/>
      <c r="D87" s="875"/>
      <c r="E87" s="874"/>
      <c r="F87" s="721" t="s">
        <v>353</v>
      </c>
      <c r="G87" s="190">
        <f>I87/H87</f>
        <v>416666.6666666667</v>
      </c>
      <c r="H87" s="188">
        <v>12</v>
      </c>
      <c r="I87" s="191">
        <v>5000000</v>
      </c>
      <c r="J87" s="152"/>
      <c r="K87" s="153"/>
      <c r="L87" s="1030"/>
      <c r="N87" s="153"/>
    </row>
    <row r="88" spans="1:14" s="147" customFormat="1" ht="15.75" customHeight="1" hidden="1">
      <c r="A88" s="171"/>
      <c r="B88" s="186"/>
      <c r="C88" s="874"/>
      <c r="D88" s="875"/>
      <c r="E88" s="874"/>
      <c r="F88" s="721"/>
      <c r="G88" s="190"/>
      <c r="H88" s="188">
        <v>12</v>
      </c>
      <c r="I88" s="191"/>
      <c r="J88" s="152"/>
      <c r="K88" s="153"/>
      <c r="L88" s="153"/>
      <c r="N88" s="153"/>
    </row>
    <row r="89" spans="1:14" s="147" customFormat="1" ht="15.75" customHeight="1" hidden="1">
      <c r="A89" s="171"/>
      <c r="B89" s="186"/>
      <c r="C89" s="874"/>
      <c r="D89" s="875"/>
      <c r="E89" s="874"/>
      <c r="F89" s="721"/>
      <c r="G89" s="190"/>
      <c r="H89" s="188">
        <v>12</v>
      </c>
      <c r="I89" s="191"/>
      <c r="J89" s="152"/>
      <c r="K89" s="153"/>
      <c r="L89" s="153"/>
      <c r="N89" s="153"/>
    </row>
    <row r="90" spans="1:14" s="147" customFormat="1" ht="15.75" customHeight="1">
      <c r="A90" s="171"/>
      <c r="B90" s="192"/>
      <c r="C90" s="876"/>
      <c r="D90" s="878"/>
      <c r="E90" s="876"/>
      <c r="F90" s="193" t="s">
        <v>147</v>
      </c>
      <c r="G90" s="461"/>
      <c r="H90" s="195"/>
      <c r="I90" s="194">
        <f>SUM(I82:I89)</f>
        <v>560000000</v>
      </c>
      <c r="J90" s="152"/>
      <c r="K90" s="153"/>
      <c r="L90" s="153"/>
      <c r="N90" s="153"/>
    </row>
    <row r="91" spans="1:14" s="147" customFormat="1" ht="15.75" customHeight="1">
      <c r="A91" s="171"/>
      <c r="B91" s="183" t="s">
        <v>185</v>
      </c>
      <c r="C91" s="867">
        <f>+I91</f>
        <v>0</v>
      </c>
      <c r="D91" s="868">
        <v>0</v>
      </c>
      <c r="E91" s="867">
        <f>C91-D91</f>
        <v>0</v>
      </c>
      <c r="F91" s="184"/>
      <c r="G91" s="189"/>
      <c r="H91" s="185"/>
      <c r="I91" s="474"/>
      <c r="J91" s="152"/>
      <c r="K91" s="153"/>
      <c r="L91" s="153"/>
      <c r="N91" s="153"/>
    </row>
    <row r="92" spans="1:14" s="147" customFormat="1" ht="15.75" customHeight="1">
      <c r="A92" s="171"/>
      <c r="B92" s="183" t="s">
        <v>1195</v>
      </c>
      <c r="C92" s="867">
        <v>0</v>
      </c>
      <c r="D92" s="868">
        <v>0</v>
      </c>
      <c r="E92" s="867">
        <f>C92-D92</f>
        <v>0</v>
      </c>
      <c r="F92" s="184"/>
      <c r="G92" s="189"/>
      <c r="H92" s="185"/>
      <c r="I92" s="474"/>
      <c r="J92" s="152"/>
      <c r="K92" s="153"/>
      <c r="L92" s="153"/>
      <c r="N92" s="153"/>
    </row>
    <row r="93" spans="1:14" s="147" customFormat="1" ht="15.75" customHeight="1">
      <c r="A93" s="171"/>
      <c r="B93" s="183" t="s">
        <v>1196</v>
      </c>
      <c r="C93" s="867">
        <v>0</v>
      </c>
      <c r="D93" s="868">
        <v>0</v>
      </c>
      <c r="E93" s="867">
        <f>C93-D93</f>
        <v>0</v>
      </c>
      <c r="F93" s="184"/>
      <c r="G93" s="189"/>
      <c r="H93" s="185"/>
      <c r="I93" s="474"/>
      <c r="J93" s="152"/>
      <c r="K93" s="153"/>
      <c r="L93" s="153"/>
      <c r="N93" s="153"/>
    </row>
    <row r="94" spans="1:14" s="147" customFormat="1" ht="15.75" customHeight="1">
      <c r="A94" s="171"/>
      <c r="B94" s="165" t="s">
        <v>1197</v>
      </c>
      <c r="C94" s="884">
        <f>+I94</f>
        <v>120000000</v>
      </c>
      <c r="D94" s="868">
        <v>120000000</v>
      </c>
      <c r="E94" s="867">
        <f>C94-D94</f>
        <v>0</v>
      </c>
      <c r="F94" s="200" t="s">
        <v>187</v>
      </c>
      <c r="G94" s="464">
        <f>I94/H94</f>
        <v>10000000</v>
      </c>
      <c r="H94" s="201">
        <v>12</v>
      </c>
      <c r="I94" s="476">
        <f>+'20년 추경지출(대전)'!H51</f>
        <v>120000000</v>
      </c>
      <c r="J94" s="152"/>
      <c r="K94" s="153"/>
      <c r="L94" s="153"/>
      <c r="N94" s="153"/>
    </row>
    <row r="95" spans="1:14" s="147" customFormat="1" ht="15.75" customHeight="1">
      <c r="A95" s="171"/>
      <c r="B95" s="192" t="s">
        <v>1198</v>
      </c>
      <c r="C95" s="884">
        <f>472000000+393310000</f>
        <v>865310000</v>
      </c>
      <c r="D95" s="868">
        <v>472000000</v>
      </c>
      <c r="E95" s="867">
        <f>C95-D95</f>
        <v>393310000</v>
      </c>
      <c r="F95" s="210" t="s">
        <v>189</v>
      </c>
      <c r="G95" s="211">
        <f>I95/H95</f>
        <v>72109166.66666667</v>
      </c>
      <c r="H95" s="212">
        <v>12</v>
      </c>
      <c r="I95" s="477">
        <f>472000000+393310000</f>
        <v>865310000</v>
      </c>
      <c r="J95" s="152">
        <f>D101*3%</f>
        <v>0</v>
      </c>
      <c r="K95" s="153"/>
      <c r="L95" s="153"/>
      <c r="N95" s="153"/>
    </row>
    <row r="96" spans="1:14" s="147" customFormat="1" ht="15.75" customHeight="1">
      <c r="A96" s="171"/>
      <c r="B96" s="165" t="s">
        <v>1199</v>
      </c>
      <c r="C96" s="867">
        <f>+I96</f>
        <v>0</v>
      </c>
      <c r="D96" s="868">
        <v>0</v>
      </c>
      <c r="E96" s="867">
        <f>C96-D96</f>
        <v>0</v>
      </c>
      <c r="F96" s="166"/>
      <c r="G96" s="459"/>
      <c r="H96" s="168"/>
      <c r="I96" s="458"/>
      <c r="J96" s="152"/>
      <c r="K96" s="153"/>
      <c r="L96" s="153"/>
      <c r="N96" s="153"/>
    </row>
    <row r="97" spans="1:14" s="147" customFormat="1" ht="15.75" customHeight="1">
      <c r="A97" s="171"/>
      <c r="B97" s="165" t="s">
        <v>1200</v>
      </c>
      <c r="C97" s="867">
        <f>+I97</f>
        <v>0</v>
      </c>
      <c r="D97" s="868">
        <v>0</v>
      </c>
      <c r="E97" s="867">
        <f>C97-D97</f>
        <v>0</v>
      </c>
      <c r="F97" s="166"/>
      <c r="G97" s="459"/>
      <c r="H97" s="168"/>
      <c r="I97" s="458"/>
      <c r="J97" s="152"/>
      <c r="K97" s="153"/>
      <c r="L97" s="153"/>
      <c r="N97" s="153"/>
    </row>
    <row r="98" spans="1:14" s="147" customFormat="1" ht="15.75" customHeight="1">
      <c r="A98" s="178"/>
      <c r="B98" s="192" t="s">
        <v>1201</v>
      </c>
      <c r="C98" s="867">
        <f>42000000+100000000</f>
        <v>142000000</v>
      </c>
      <c r="D98" s="878">
        <v>42000000</v>
      </c>
      <c r="E98" s="867">
        <f>C98-D98</f>
        <v>100000000</v>
      </c>
      <c r="F98" s="181" t="s">
        <v>193</v>
      </c>
      <c r="G98" s="460"/>
      <c r="H98" s="182"/>
      <c r="I98" s="194">
        <f>+C98</f>
        <v>142000000</v>
      </c>
      <c r="J98" s="152"/>
      <c r="K98" s="153"/>
      <c r="L98" s="153"/>
      <c r="N98" s="153"/>
    </row>
    <row r="99" spans="1:14" s="147" customFormat="1" ht="15.75" customHeight="1">
      <c r="A99" s="178" t="s">
        <v>340</v>
      </c>
      <c r="B99" s="192"/>
      <c r="C99" s="876">
        <f>SUM(C100:C115)</f>
        <v>68861000000</v>
      </c>
      <c r="D99" s="876">
        <f>SUM(D100:D115)</f>
        <v>66161000000</v>
      </c>
      <c r="E99" s="876">
        <f>C99-D99</f>
        <v>2700000000</v>
      </c>
      <c r="F99" s="181"/>
      <c r="G99" s="460"/>
      <c r="H99" s="182"/>
      <c r="I99" s="473"/>
      <c r="J99" s="152"/>
      <c r="K99" s="153"/>
      <c r="L99" s="153"/>
      <c r="N99" s="153"/>
    </row>
    <row r="100" spans="1:14" s="147" customFormat="1" ht="15.75" customHeight="1">
      <c r="A100" s="170"/>
      <c r="B100" s="183" t="s">
        <v>194</v>
      </c>
      <c r="C100" s="872">
        <v>33000000000</v>
      </c>
      <c r="D100" s="877">
        <v>32000000000</v>
      </c>
      <c r="E100" s="872">
        <f>C100-D100</f>
        <v>1000000000</v>
      </c>
      <c r="F100" s="184" t="s">
        <v>195</v>
      </c>
      <c r="G100" s="189">
        <f>I100/H100</f>
        <v>85833333.33333333</v>
      </c>
      <c r="H100" s="185">
        <v>12</v>
      </c>
      <c r="I100" s="474">
        <f>1000000000+30000000</f>
        <v>1030000000</v>
      </c>
      <c r="J100" s="152"/>
      <c r="K100" s="153"/>
      <c r="L100" s="1028" t="s">
        <v>564</v>
      </c>
      <c r="N100" s="153"/>
    </row>
    <row r="101" spans="1:14" s="147" customFormat="1" ht="15.75" customHeight="1">
      <c r="A101" s="171"/>
      <c r="B101" s="186"/>
      <c r="C101" s="874"/>
      <c r="D101" s="875"/>
      <c r="E101" s="874"/>
      <c r="F101" s="721" t="s">
        <v>196</v>
      </c>
      <c r="G101" s="190">
        <f aca="true" t="shared" si="3" ref="G101:G108">I101/H101</f>
        <v>2664166666.6666665</v>
      </c>
      <c r="H101" s="188">
        <v>12</v>
      </c>
      <c r="I101" s="191">
        <f>31000000000+970000000</f>
        <v>31970000000</v>
      </c>
      <c r="J101" s="213"/>
      <c r="K101" s="153"/>
      <c r="L101" s="1029"/>
      <c r="N101" s="153"/>
    </row>
    <row r="102" spans="1:14" s="147" customFormat="1" ht="15.75" customHeight="1">
      <c r="A102" s="171"/>
      <c r="B102" s="192"/>
      <c r="C102" s="876"/>
      <c r="D102" s="878"/>
      <c r="E102" s="876"/>
      <c r="F102" s="193" t="s">
        <v>147</v>
      </c>
      <c r="G102" s="461"/>
      <c r="H102" s="195"/>
      <c r="I102" s="194">
        <f>SUM(I100:I101)</f>
        <v>33000000000</v>
      </c>
      <c r="J102" s="214"/>
      <c r="K102" s="153"/>
      <c r="L102" s="1029"/>
      <c r="N102" s="153"/>
    </row>
    <row r="103" spans="1:14" s="147" customFormat="1" ht="15.75" customHeight="1">
      <c r="A103" s="171"/>
      <c r="B103" s="183" t="s">
        <v>197</v>
      </c>
      <c r="C103" s="872">
        <v>19401000000</v>
      </c>
      <c r="D103" s="875">
        <v>18401000000</v>
      </c>
      <c r="E103" s="872">
        <f>C103-D103</f>
        <v>1000000000</v>
      </c>
      <c r="F103" s="184" t="s">
        <v>198</v>
      </c>
      <c r="G103" s="189">
        <f t="shared" si="3"/>
        <v>1102833333.3333333</v>
      </c>
      <c r="H103" s="185">
        <v>12</v>
      </c>
      <c r="I103" s="474">
        <f>13034000000+200000000</f>
        <v>13234000000</v>
      </c>
      <c r="J103" s="213"/>
      <c r="K103" s="153"/>
      <c r="L103" s="1029"/>
      <c r="N103" s="153"/>
    </row>
    <row r="104" spans="1:14" s="147" customFormat="1" ht="15.75" customHeight="1">
      <c r="A104" s="171"/>
      <c r="B104" s="186"/>
      <c r="C104" s="874"/>
      <c r="D104" s="875"/>
      <c r="E104" s="874"/>
      <c r="F104" s="721" t="s">
        <v>199</v>
      </c>
      <c r="G104" s="190">
        <f t="shared" si="3"/>
        <v>26583333.333333332</v>
      </c>
      <c r="H104" s="188">
        <v>12</v>
      </c>
      <c r="I104" s="191">
        <f>119000000+200000000</f>
        <v>319000000</v>
      </c>
      <c r="J104" s="213"/>
      <c r="K104" s="153"/>
      <c r="L104" s="1029"/>
      <c r="N104" s="153"/>
    </row>
    <row r="105" spans="1:14" s="147" customFormat="1" ht="15.75" customHeight="1">
      <c r="A105" s="171"/>
      <c r="B105" s="186"/>
      <c r="C105" s="874"/>
      <c r="D105" s="875"/>
      <c r="E105" s="874"/>
      <c r="F105" s="721" t="s">
        <v>200</v>
      </c>
      <c r="G105" s="190">
        <f t="shared" si="3"/>
        <v>15000000</v>
      </c>
      <c r="H105" s="188">
        <v>12</v>
      </c>
      <c r="I105" s="191">
        <f>80000000+100000000</f>
        <v>180000000</v>
      </c>
      <c r="J105" s="213"/>
      <c r="K105" s="153"/>
      <c r="L105" s="1029"/>
      <c r="N105" s="153"/>
    </row>
    <row r="106" spans="1:14" s="147" customFormat="1" ht="15.75" customHeight="1">
      <c r="A106" s="171"/>
      <c r="B106" s="186"/>
      <c r="C106" s="874"/>
      <c r="D106" s="875"/>
      <c r="E106" s="874"/>
      <c r="F106" s="721" t="s">
        <v>201</v>
      </c>
      <c r="G106" s="190">
        <f t="shared" si="3"/>
        <v>330666666.6666667</v>
      </c>
      <c r="H106" s="188">
        <v>12</v>
      </c>
      <c r="I106" s="191">
        <f>3768000000+200000000</f>
        <v>3968000000</v>
      </c>
      <c r="J106" s="213"/>
      <c r="K106" s="153"/>
      <c r="L106" s="1029"/>
      <c r="N106" s="153"/>
    </row>
    <row r="107" spans="1:14" s="147" customFormat="1" ht="15.75" customHeight="1">
      <c r="A107" s="171"/>
      <c r="B107" s="186"/>
      <c r="C107" s="874"/>
      <c r="D107" s="875"/>
      <c r="E107" s="874"/>
      <c r="F107" s="721" t="s">
        <v>202</v>
      </c>
      <c r="G107" s="190">
        <f t="shared" si="3"/>
        <v>62500000</v>
      </c>
      <c r="H107" s="188">
        <v>12</v>
      </c>
      <c r="I107" s="191">
        <f>550000000+200000000</f>
        <v>750000000</v>
      </c>
      <c r="J107" s="213"/>
      <c r="K107" s="153"/>
      <c r="L107" s="1029"/>
      <c r="N107" s="153"/>
    </row>
    <row r="108" spans="1:14" s="147" customFormat="1" ht="15.75" customHeight="1">
      <c r="A108" s="171"/>
      <c r="B108" s="186"/>
      <c r="C108" s="874"/>
      <c r="D108" s="875"/>
      <c r="E108" s="874"/>
      <c r="F108" s="721" t="s">
        <v>203</v>
      </c>
      <c r="G108" s="190">
        <f t="shared" si="3"/>
        <v>79166666.66666667</v>
      </c>
      <c r="H108" s="188">
        <v>12</v>
      </c>
      <c r="I108" s="191">
        <f>850000000+100000000</f>
        <v>950000000</v>
      </c>
      <c r="J108" s="213"/>
      <c r="K108" s="153"/>
      <c r="L108" s="1029"/>
      <c r="N108" s="153"/>
    </row>
    <row r="109" spans="1:14" s="147" customFormat="1" ht="15.75" customHeight="1">
      <c r="A109" s="171"/>
      <c r="B109" s="192"/>
      <c r="C109" s="876"/>
      <c r="D109" s="878"/>
      <c r="E109" s="876"/>
      <c r="F109" s="193" t="s">
        <v>147</v>
      </c>
      <c r="G109" s="461"/>
      <c r="H109" s="195"/>
      <c r="I109" s="194">
        <f>SUM(I103:I108)</f>
        <v>19401000000</v>
      </c>
      <c r="J109" s="214"/>
      <c r="K109" s="153"/>
      <c r="L109" s="1029"/>
      <c r="N109" s="153"/>
    </row>
    <row r="110" spans="1:14" s="147" customFormat="1" ht="15.75" customHeight="1">
      <c r="A110" s="171"/>
      <c r="B110" s="209" t="s">
        <v>204</v>
      </c>
      <c r="C110" s="872">
        <f>10000000000+500000000</f>
        <v>10500000000</v>
      </c>
      <c r="D110" s="877">
        <v>10000000000</v>
      </c>
      <c r="E110" s="874">
        <f>C110-D110</f>
        <v>500000000</v>
      </c>
      <c r="F110" s="184" t="s">
        <v>205</v>
      </c>
      <c r="G110" s="189">
        <f>I110/H110</f>
        <v>866250000</v>
      </c>
      <c r="H110" s="185">
        <v>12</v>
      </c>
      <c r="I110" s="474">
        <f>9900000000+495000000</f>
        <v>10395000000</v>
      </c>
      <c r="J110" s="213"/>
      <c r="K110" s="153"/>
      <c r="L110" s="1029"/>
      <c r="N110" s="153"/>
    </row>
    <row r="111" spans="1:14" s="147" customFormat="1" ht="15.75" customHeight="1">
      <c r="A111" s="171"/>
      <c r="B111" s="186"/>
      <c r="C111" s="874"/>
      <c r="D111" s="875"/>
      <c r="E111" s="874"/>
      <c r="F111" s="721" t="s">
        <v>206</v>
      </c>
      <c r="G111" s="190">
        <f>I111/H111</f>
        <v>8750000</v>
      </c>
      <c r="H111" s="188">
        <v>12</v>
      </c>
      <c r="I111" s="191">
        <f>100000000+5000000</f>
        <v>105000000</v>
      </c>
      <c r="J111" s="215"/>
      <c r="K111" s="153"/>
      <c r="L111" s="1029"/>
      <c r="N111" s="153"/>
    </row>
    <row r="112" spans="1:14" s="147" customFormat="1" ht="15.75" customHeight="1">
      <c r="A112" s="171"/>
      <c r="B112" s="186"/>
      <c r="C112" s="876"/>
      <c r="D112" s="878"/>
      <c r="E112" s="876"/>
      <c r="F112" s="193" t="s">
        <v>147</v>
      </c>
      <c r="G112" s="460"/>
      <c r="H112" s="182"/>
      <c r="I112" s="194">
        <f>I110+I111</f>
        <v>10500000000</v>
      </c>
      <c r="J112" s="214"/>
      <c r="K112" s="153"/>
      <c r="L112" s="1030"/>
      <c r="N112" s="153"/>
    </row>
    <row r="113" spans="1:14" s="147" customFormat="1" ht="15.75" customHeight="1">
      <c r="A113" s="171"/>
      <c r="B113" s="165" t="s">
        <v>576</v>
      </c>
      <c r="C113" s="867">
        <f>1610000000+200000000</f>
        <v>1810000000</v>
      </c>
      <c r="D113" s="868">
        <v>1610000000</v>
      </c>
      <c r="E113" s="876">
        <f aca="true" t="shared" si="4" ref="E113:E118">C113-D113</f>
        <v>200000000</v>
      </c>
      <c r="F113" s="166" t="s">
        <v>207</v>
      </c>
      <c r="G113" s="459">
        <f>I113/H113</f>
        <v>150833333.33333334</v>
      </c>
      <c r="H113" s="168">
        <v>12</v>
      </c>
      <c r="I113" s="478">
        <f>+C113</f>
        <v>1810000000</v>
      </c>
      <c r="J113" s="215"/>
      <c r="K113" s="153"/>
      <c r="L113" s="153"/>
      <c r="N113" s="153"/>
    </row>
    <row r="114" spans="1:14" s="147" customFormat="1" ht="15.75" customHeight="1">
      <c r="A114" s="171"/>
      <c r="B114" s="165" t="s">
        <v>577</v>
      </c>
      <c r="C114" s="867">
        <f>+I114</f>
        <v>2075000000</v>
      </c>
      <c r="D114" s="868">
        <v>2075000000</v>
      </c>
      <c r="E114" s="867">
        <f t="shared" si="4"/>
        <v>0</v>
      </c>
      <c r="F114" s="166" t="s">
        <v>208</v>
      </c>
      <c r="G114" s="459">
        <f>I114/H114</f>
        <v>172916666.66666666</v>
      </c>
      <c r="H114" s="168">
        <v>12</v>
      </c>
      <c r="I114" s="478">
        <f>+'20년 추경지출(대전)'!H60</f>
        <v>2075000000</v>
      </c>
      <c r="J114" s="215"/>
      <c r="K114" s="153"/>
      <c r="L114" s="1031" t="s">
        <v>571</v>
      </c>
      <c r="M114" s="1031"/>
      <c r="N114" s="153"/>
    </row>
    <row r="115" spans="1:14" s="147" customFormat="1" ht="15.75" customHeight="1">
      <c r="A115" s="249"/>
      <c r="B115" s="250" t="s">
        <v>209</v>
      </c>
      <c r="C115" s="885">
        <f>+I115</f>
        <v>2075000000</v>
      </c>
      <c r="D115" s="880">
        <v>2075000000</v>
      </c>
      <c r="E115" s="879">
        <f t="shared" si="4"/>
        <v>0</v>
      </c>
      <c r="F115" s="251" t="s">
        <v>210</v>
      </c>
      <c r="G115" s="462">
        <f>I115/H115</f>
        <v>172916666.66666666</v>
      </c>
      <c r="H115" s="252">
        <v>12</v>
      </c>
      <c r="I115" s="255">
        <f>+'20년 추경지출(대전)'!H61</f>
        <v>2075000000</v>
      </c>
      <c r="J115" s="215"/>
      <c r="K115" s="153"/>
      <c r="L115" s="1031"/>
      <c r="M115" s="1031"/>
      <c r="N115" s="153"/>
    </row>
    <row r="116" spans="1:15" s="147" customFormat="1" ht="15.75" customHeight="1">
      <c r="A116" s="179" t="s">
        <v>211</v>
      </c>
      <c r="B116" s="180"/>
      <c r="C116" s="871">
        <f>+C117</f>
        <v>1719000000</v>
      </c>
      <c r="D116" s="886">
        <f>+D117</f>
        <v>1265000000</v>
      </c>
      <c r="E116" s="871">
        <f t="shared" si="4"/>
        <v>454000000</v>
      </c>
      <c r="F116" s="181"/>
      <c r="G116" s="460"/>
      <c r="H116" s="182"/>
      <c r="I116" s="473"/>
      <c r="J116" s="152"/>
      <c r="K116" s="153"/>
      <c r="L116" s="153"/>
      <c r="N116" s="153"/>
      <c r="O116" s="150"/>
    </row>
    <row r="117" spans="1:14" s="147" customFormat="1" ht="15.75" customHeight="1">
      <c r="A117" s="164" t="s">
        <v>212</v>
      </c>
      <c r="B117" s="165"/>
      <c r="C117" s="867">
        <f>SUM(C118:C119)</f>
        <v>1719000000</v>
      </c>
      <c r="D117" s="868">
        <v>1265000000</v>
      </c>
      <c r="E117" s="867">
        <f t="shared" si="4"/>
        <v>454000000</v>
      </c>
      <c r="F117" s="166"/>
      <c r="G117" s="459"/>
      <c r="H117" s="168"/>
      <c r="I117" s="458"/>
      <c r="J117" s="152"/>
      <c r="K117" s="153"/>
      <c r="L117" s="153"/>
      <c r="N117" s="153"/>
    </row>
    <row r="118" spans="1:14" s="147" customFormat="1" ht="15.75" customHeight="1">
      <c r="A118" s="171"/>
      <c r="B118" s="192" t="s">
        <v>213</v>
      </c>
      <c r="C118" s="876">
        <f>+I118</f>
        <v>1719000000</v>
      </c>
      <c r="D118" s="868">
        <v>1265000000</v>
      </c>
      <c r="E118" s="876">
        <f t="shared" si="4"/>
        <v>454000000</v>
      </c>
      <c r="F118" s="181" t="s">
        <v>214</v>
      </c>
      <c r="G118" s="460">
        <f>I118/H118</f>
        <v>143250000</v>
      </c>
      <c r="H118" s="182">
        <v>12</v>
      </c>
      <c r="I118" s="194">
        <f>+'20년 추경지출(대전)'!H64</f>
        <v>1719000000</v>
      </c>
      <c r="J118" s="152"/>
      <c r="K118" s="153"/>
      <c r="L118" s="153"/>
      <c r="N118" s="153"/>
    </row>
    <row r="119" spans="1:14" s="147" customFormat="1" ht="15.75" customHeight="1">
      <c r="A119" s="171"/>
      <c r="B119" s="183" t="s">
        <v>215</v>
      </c>
      <c r="C119" s="867">
        <v>0</v>
      </c>
      <c r="D119" s="868">
        <v>0</v>
      </c>
      <c r="E119" s="867">
        <f>C119-D119</f>
        <v>0</v>
      </c>
      <c r="F119" s="184"/>
      <c r="G119" s="189"/>
      <c r="H119" s="185"/>
      <c r="I119" s="474"/>
      <c r="J119" s="152"/>
      <c r="K119" s="153"/>
      <c r="L119" s="153"/>
      <c r="N119" s="153"/>
    </row>
    <row r="120" spans="1:15" s="147" customFormat="1" ht="15.75" customHeight="1">
      <c r="A120" s="216" t="s">
        <v>216</v>
      </c>
      <c r="B120" s="217"/>
      <c r="C120" s="887">
        <f>SUM(C121+C123)</f>
        <v>4500000000</v>
      </c>
      <c r="D120" s="887">
        <f>SUM(D121+D123)</f>
        <v>6500000000</v>
      </c>
      <c r="E120" s="887">
        <f>C120-D120</f>
        <v>-2000000000</v>
      </c>
      <c r="F120" s="166"/>
      <c r="G120" s="459"/>
      <c r="H120" s="168"/>
      <c r="I120" s="458"/>
      <c r="J120" s="152"/>
      <c r="K120" s="153"/>
      <c r="L120" s="153"/>
      <c r="N120" s="153"/>
      <c r="O120" s="150"/>
    </row>
    <row r="121" spans="1:14" s="147" customFormat="1" ht="15.75" customHeight="1">
      <c r="A121" s="164" t="s">
        <v>217</v>
      </c>
      <c r="B121" s="165"/>
      <c r="C121" s="867">
        <f>SUM(C122)</f>
        <v>1000000000</v>
      </c>
      <c r="D121" s="867">
        <f>SUM(D122)</f>
        <v>3000000000</v>
      </c>
      <c r="E121" s="867">
        <f>C121-D121</f>
        <v>-2000000000</v>
      </c>
      <c r="F121" s="166"/>
      <c r="G121" s="459"/>
      <c r="H121" s="168"/>
      <c r="I121" s="458"/>
      <c r="J121" s="152"/>
      <c r="K121" s="153"/>
      <c r="L121" s="153"/>
      <c r="N121" s="153"/>
    </row>
    <row r="122" spans="1:14" s="147" customFormat="1" ht="15.75" customHeight="1">
      <c r="A122" s="170"/>
      <c r="B122" s="183" t="s">
        <v>218</v>
      </c>
      <c r="C122" s="872">
        <f>1000000000</f>
        <v>1000000000</v>
      </c>
      <c r="D122" s="877">
        <v>3000000000</v>
      </c>
      <c r="E122" s="867">
        <f>C122-D122</f>
        <v>-2000000000</v>
      </c>
      <c r="F122" s="218" t="s">
        <v>1183</v>
      </c>
      <c r="G122" s="466"/>
      <c r="H122" s="219"/>
      <c r="I122" s="474">
        <v>1000000000</v>
      </c>
      <c r="J122" s="152"/>
      <c r="K122" s="153"/>
      <c r="L122" s="153"/>
      <c r="N122" s="153"/>
    </row>
    <row r="123" spans="1:14" s="147" customFormat="1" ht="15.75" customHeight="1">
      <c r="A123" s="164" t="s">
        <v>219</v>
      </c>
      <c r="B123" s="165"/>
      <c r="C123" s="867">
        <f>SUM(C124:C126)</f>
        <v>3500000000</v>
      </c>
      <c r="D123" s="868">
        <f>+D124+D125</f>
        <v>3500000000</v>
      </c>
      <c r="E123" s="867">
        <f>C123-D123</f>
        <v>0</v>
      </c>
      <c r="F123" s="166"/>
      <c r="G123" s="459"/>
      <c r="H123" s="168"/>
      <c r="I123" s="458"/>
      <c r="J123" s="152"/>
      <c r="K123" s="153"/>
      <c r="L123" s="153"/>
      <c r="N123" s="153"/>
    </row>
    <row r="124" spans="1:14" s="147" customFormat="1" ht="15.75" customHeight="1">
      <c r="A124" s="170"/>
      <c r="B124" s="165" t="s">
        <v>220</v>
      </c>
      <c r="C124" s="884">
        <f>+I124</f>
        <v>500000000</v>
      </c>
      <c r="D124" s="868">
        <v>500000000</v>
      </c>
      <c r="E124" s="867">
        <f>C124-D124</f>
        <v>0</v>
      </c>
      <c r="F124" s="200" t="s">
        <v>572</v>
      </c>
      <c r="G124" s="464"/>
      <c r="H124" s="201"/>
      <c r="I124" s="476">
        <f>+'20년 추경지출(대전)'!H69</f>
        <v>500000000</v>
      </c>
      <c r="J124" s="152"/>
      <c r="K124" s="153"/>
      <c r="L124" s="153"/>
      <c r="N124" s="153"/>
    </row>
    <row r="125" spans="1:14" s="147" customFormat="1" ht="15.75" customHeight="1">
      <c r="A125" s="171"/>
      <c r="B125" s="165" t="s">
        <v>221</v>
      </c>
      <c r="C125" s="867">
        <f>+I125</f>
        <v>3000000000</v>
      </c>
      <c r="D125" s="868">
        <v>3000000000</v>
      </c>
      <c r="E125" s="867">
        <f>C125-D125</f>
        <v>0</v>
      </c>
      <c r="F125" s="200" t="s">
        <v>222</v>
      </c>
      <c r="G125" s="467">
        <f>+I125/H125</f>
        <v>250000000</v>
      </c>
      <c r="H125" s="220">
        <v>12</v>
      </c>
      <c r="I125" s="476">
        <v>3000000000</v>
      </c>
      <c r="J125" s="213"/>
      <c r="K125" s="153"/>
      <c r="L125" s="153"/>
      <c r="N125" s="153"/>
    </row>
    <row r="126" spans="1:14" s="147" customFormat="1" ht="15.75" customHeight="1">
      <c r="A126" s="178"/>
      <c r="B126" s="165" t="s">
        <v>223</v>
      </c>
      <c r="C126" s="867">
        <f>+I126</f>
        <v>0</v>
      </c>
      <c r="D126" s="868">
        <v>0</v>
      </c>
      <c r="E126" s="867">
        <f>C126-D126</f>
        <v>0</v>
      </c>
      <c r="F126" s="246"/>
      <c r="G126" s="468"/>
      <c r="H126" s="247"/>
      <c r="I126" s="479"/>
      <c r="J126" s="152"/>
      <c r="K126" s="153"/>
      <c r="L126" s="153"/>
      <c r="N126" s="153"/>
    </row>
    <row r="127" spans="1:15" s="147" customFormat="1" ht="15.75" customHeight="1">
      <c r="A127" s="179" t="s">
        <v>224</v>
      </c>
      <c r="B127" s="180"/>
      <c r="C127" s="871">
        <f>SUM(C128)</f>
        <v>12210000000</v>
      </c>
      <c r="D127" s="871">
        <f>SUM(D128)</f>
        <v>12210000000</v>
      </c>
      <c r="E127" s="871">
        <f>C127-D127</f>
        <v>0</v>
      </c>
      <c r="F127" s="181"/>
      <c r="G127" s="460"/>
      <c r="H127" s="182"/>
      <c r="I127" s="473"/>
      <c r="J127" s="152"/>
      <c r="K127" s="153"/>
      <c r="L127" s="153"/>
      <c r="N127" s="153"/>
      <c r="O127" s="150"/>
    </row>
    <row r="128" spans="1:14" s="147" customFormat="1" ht="15.75" customHeight="1">
      <c r="A128" s="164" t="s">
        <v>225</v>
      </c>
      <c r="B128" s="165"/>
      <c r="C128" s="867">
        <f>SUM(C129:C136)</f>
        <v>12210000000</v>
      </c>
      <c r="D128" s="867">
        <f>SUM(D129:D136)</f>
        <v>12210000000</v>
      </c>
      <c r="E128" s="867">
        <f>C128-D128</f>
        <v>0</v>
      </c>
      <c r="F128" s="166"/>
      <c r="G128" s="459"/>
      <c r="H128" s="168"/>
      <c r="I128" s="458"/>
      <c r="J128" s="152"/>
      <c r="K128" s="153"/>
      <c r="L128" s="153"/>
      <c r="N128" s="153"/>
    </row>
    <row r="129" spans="1:14" s="147" customFormat="1" ht="15.75" customHeight="1">
      <c r="A129" s="170"/>
      <c r="B129" s="208" t="s">
        <v>226</v>
      </c>
      <c r="C129" s="881">
        <f>+I131</f>
        <v>5500000000</v>
      </c>
      <c r="D129" s="875">
        <v>5500000000</v>
      </c>
      <c r="E129" s="872">
        <f>C129-D129</f>
        <v>0</v>
      </c>
      <c r="F129" s="721"/>
      <c r="G129" s="190"/>
      <c r="H129" s="188"/>
      <c r="I129" s="191">
        <f>+'20년 추경지출(대전)'!H75</f>
        <v>5500000000</v>
      </c>
      <c r="J129" s="152"/>
      <c r="K129" s="153"/>
      <c r="L129" s="153"/>
      <c r="N129" s="153"/>
    </row>
    <row r="130" spans="1:14" s="147" customFormat="1" ht="15.75" customHeight="1" hidden="1">
      <c r="A130" s="171"/>
      <c r="B130" s="209"/>
      <c r="C130" s="888"/>
      <c r="D130" s="875"/>
      <c r="E130" s="874"/>
      <c r="F130" s="188"/>
      <c r="G130" s="190"/>
      <c r="H130" s="188"/>
      <c r="I130" s="191"/>
      <c r="J130" s="152"/>
      <c r="K130" s="153"/>
      <c r="L130" s="153"/>
      <c r="N130" s="153"/>
    </row>
    <row r="131" spans="1:14" s="147" customFormat="1" ht="15.75" customHeight="1" hidden="1">
      <c r="A131" s="171"/>
      <c r="B131" s="186"/>
      <c r="C131" s="874"/>
      <c r="D131" s="875"/>
      <c r="E131" s="876"/>
      <c r="F131" s="204" t="s">
        <v>266</v>
      </c>
      <c r="G131" s="465"/>
      <c r="H131" s="204"/>
      <c r="I131" s="205">
        <f>+I130+I129</f>
        <v>5500000000</v>
      </c>
      <c r="J131" s="152"/>
      <c r="K131" s="153"/>
      <c r="L131" s="153"/>
      <c r="N131" s="153"/>
    </row>
    <row r="132" spans="1:14" s="147" customFormat="1" ht="15.75" customHeight="1">
      <c r="A132" s="171"/>
      <c r="B132" s="165" t="s">
        <v>227</v>
      </c>
      <c r="C132" s="867">
        <f>+I132</f>
        <v>0</v>
      </c>
      <c r="D132" s="868">
        <v>0</v>
      </c>
      <c r="E132" s="867">
        <f aca="true" t="shared" si="5" ref="E132:E148">C132-D132</f>
        <v>0</v>
      </c>
      <c r="F132" s="166"/>
      <c r="G132" s="459"/>
      <c r="H132" s="168" t="s">
        <v>20</v>
      </c>
      <c r="I132" s="458"/>
      <c r="J132" s="152"/>
      <c r="K132" s="153"/>
      <c r="L132" s="153"/>
      <c r="N132" s="153"/>
    </row>
    <row r="133" spans="1:14" s="147" customFormat="1" ht="15.75" customHeight="1">
      <c r="A133" s="171"/>
      <c r="B133" s="192" t="s">
        <v>228</v>
      </c>
      <c r="C133" s="876">
        <f>+I133</f>
        <v>0</v>
      </c>
      <c r="D133" s="878">
        <v>0</v>
      </c>
      <c r="E133" s="867">
        <f t="shared" si="5"/>
        <v>0</v>
      </c>
      <c r="F133" s="181"/>
      <c r="G133" s="460"/>
      <c r="H133" s="182"/>
      <c r="I133" s="473"/>
      <c r="J133" s="152"/>
      <c r="K133" s="153"/>
      <c r="L133" s="153"/>
      <c r="N133" s="153"/>
    </row>
    <row r="134" spans="1:14" s="147" customFormat="1" ht="15.75" customHeight="1">
      <c r="A134" s="171"/>
      <c r="B134" s="165" t="s">
        <v>294</v>
      </c>
      <c r="C134" s="867">
        <f>+I134</f>
        <v>6710000000</v>
      </c>
      <c r="D134" s="868">
        <v>6710000000</v>
      </c>
      <c r="E134" s="867">
        <f>C134-D134</f>
        <v>0</v>
      </c>
      <c r="F134" s="168" t="s">
        <v>579</v>
      </c>
      <c r="G134" s="464"/>
      <c r="H134" s="201"/>
      <c r="I134" s="792">
        <f>+'20년 추경지출(대전)'!H77</f>
        <v>6710000000</v>
      </c>
      <c r="J134" s="152"/>
      <c r="K134" s="153"/>
      <c r="L134" s="153"/>
      <c r="N134" s="153"/>
    </row>
    <row r="135" spans="1:14" s="147" customFormat="1" ht="15.75" customHeight="1" hidden="1">
      <c r="A135" s="171"/>
      <c r="B135" s="186"/>
      <c r="C135" s="874"/>
      <c r="D135" s="875"/>
      <c r="E135" s="874"/>
      <c r="F135" s="188"/>
      <c r="G135" s="469"/>
      <c r="H135" s="221"/>
      <c r="I135" s="480"/>
      <c r="J135" s="152"/>
      <c r="K135" s="153"/>
      <c r="L135" s="153"/>
      <c r="N135" s="153"/>
    </row>
    <row r="136" spans="1:14" s="147" customFormat="1" ht="15.75" customHeight="1" hidden="1">
      <c r="A136" s="178"/>
      <c r="B136" s="192"/>
      <c r="C136" s="876"/>
      <c r="D136" s="878"/>
      <c r="E136" s="876"/>
      <c r="F136" s="193" t="s">
        <v>266</v>
      </c>
      <c r="G136" s="460"/>
      <c r="H136" s="182"/>
      <c r="I136" s="194">
        <f>SUM(I134:I135)</f>
        <v>6710000000</v>
      </c>
      <c r="J136" s="152"/>
      <c r="K136" s="153"/>
      <c r="L136" s="153"/>
      <c r="N136" s="153"/>
    </row>
    <row r="137" spans="1:15" s="147" customFormat="1" ht="15.75" customHeight="1">
      <c r="A137" s="179" t="s">
        <v>229</v>
      </c>
      <c r="B137" s="192"/>
      <c r="C137" s="871">
        <f>SUM(C138)</f>
        <v>7000000000</v>
      </c>
      <c r="D137" s="886">
        <v>5000000000</v>
      </c>
      <c r="E137" s="871">
        <f>C137-D137</f>
        <v>2000000000</v>
      </c>
      <c r="F137" s="181"/>
      <c r="G137" s="460"/>
      <c r="H137" s="182"/>
      <c r="I137" s="473"/>
      <c r="J137" s="152"/>
      <c r="K137" s="153"/>
      <c r="L137" s="153"/>
      <c r="N137" s="153"/>
      <c r="O137" s="150"/>
    </row>
    <row r="138" spans="1:14" s="147" customFormat="1" ht="15.75" customHeight="1">
      <c r="A138" s="164" t="s">
        <v>230</v>
      </c>
      <c r="B138" s="165"/>
      <c r="C138" s="867">
        <f>SUM(C139)</f>
        <v>7000000000</v>
      </c>
      <c r="D138" s="868">
        <v>5000000000</v>
      </c>
      <c r="E138" s="867">
        <f>C138-D138</f>
        <v>2000000000</v>
      </c>
      <c r="F138" s="166"/>
      <c r="G138" s="459"/>
      <c r="H138" s="168"/>
      <c r="I138" s="458"/>
      <c r="J138" s="152"/>
      <c r="K138" s="153"/>
      <c r="L138" s="153"/>
      <c r="N138" s="153"/>
    </row>
    <row r="139" spans="1:14" s="147" customFormat="1" ht="15.75" customHeight="1">
      <c r="A139" s="1020"/>
      <c r="B139" s="1022" t="s">
        <v>231</v>
      </c>
      <c r="C139" s="1024">
        <f>5000000000+2000000000</f>
        <v>7000000000</v>
      </c>
      <c r="D139" s="1026">
        <v>5000000000</v>
      </c>
      <c r="E139" s="1024">
        <f>C139-D139</f>
        <v>2000000000</v>
      </c>
      <c r="F139" s="184"/>
      <c r="G139" s="189"/>
      <c r="H139" s="1032" t="s">
        <v>1180</v>
      </c>
      <c r="I139" s="1033"/>
      <c r="J139" s="152"/>
      <c r="K139" s="153"/>
      <c r="L139" s="153"/>
      <c r="N139" s="153"/>
    </row>
    <row r="140" spans="1:14" s="147" customFormat="1" ht="15.75" customHeight="1">
      <c r="A140" s="1021"/>
      <c r="B140" s="1023"/>
      <c r="C140" s="1025"/>
      <c r="D140" s="1027"/>
      <c r="E140" s="1025"/>
      <c r="F140" s="181"/>
      <c r="G140" s="190"/>
      <c r="H140" s="1018" t="s">
        <v>1179</v>
      </c>
      <c r="I140" s="1019"/>
      <c r="J140" s="152"/>
      <c r="K140" s="153"/>
      <c r="L140" s="153"/>
      <c r="N140" s="153"/>
    </row>
    <row r="141" spans="1:14" s="147" customFormat="1" ht="15.75" customHeight="1">
      <c r="A141" s="216" t="s">
        <v>232</v>
      </c>
      <c r="B141" s="217"/>
      <c r="C141" s="887">
        <f>C142+C145</f>
        <v>874000000</v>
      </c>
      <c r="D141" s="889">
        <v>0</v>
      </c>
      <c r="E141" s="887">
        <f t="shared" si="5"/>
        <v>874000000</v>
      </c>
      <c r="F141" s="181"/>
      <c r="G141" s="459"/>
      <c r="H141" s="168"/>
      <c r="I141" s="458"/>
      <c r="J141" s="152"/>
      <c r="K141" s="153"/>
      <c r="L141" s="153"/>
      <c r="N141" s="153"/>
    </row>
    <row r="142" spans="1:14" s="147" customFormat="1" ht="15.75" customHeight="1">
      <c r="A142" s="164" t="s">
        <v>233</v>
      </c>
      <c r="B142" s="165"/>
      <c r="C142" s="867">
        <f>SUM(C143:C144)</f>
        <v>0</v>
      </c>
      <c r="D142" s="868">
        <v>0</v>
      </c>
      <c r="E142" s="867">
        <f t="shared" si="5"/>
        <v>0</v>
      </c>
      <c r="F142" s="166"/>
      <c r="G142" s="459"/>
      <c r="H142" s="168"/>
      <c r="I142" s="458"/>
      <c r="J142" s="152"/>
      <c r="K142" s="153"/>
      <c r="L142" s="153"/>
      <c r="N142" s="153"/>
    </row>
    <row r="143" spans="1:14" s="147" customFormat="1" ht="15.75" customHeight="1">
      <c r="A143" s="216"/>
      <c r="B143" s="165" t="s">
        <v>234</v>
      </c>
      <c r="C143" s="867">
        <f>I143</f>
        <v>0</v>
      </c>
      <c r="D143" s="868">
        <v>0</v>
      </c>
      <c r="E143" s="867">
        <f t="shared" si="5"/>
        <v>0</v>
      </c>
      <c r="F143" s="166"/>
      <c r="G143" s="459"/>
      <c r="H143" s="168"/>
      <c r="I143" s="458"/>
      <c r="J143" s="152"/>
      <c r="K143" s="153"/>
      <c r="L143" s="153"/>
      <c r="N143" s="153"/>
    </row>
    <row r="144" spans="1:14" s="147" customFormat="1" ht="15.75" customHeight="1">
      <c r="A144" s="216"/>
      <c r="B144" s="165" t="s">
        <v>824</v>
      </c>
      <c r="C144" s="867"/>
      <c r="D144" s="878">
        <v>0</v>
      </c>
      <c r="E144" s="867">
        <f t="shared" si="5"/>
        <v>0</v>
      </c>
      <c r="F144" s="166"/>
      <c r="G144" s="459"/>
      <c r="H144" s="168"/>
      <c r="I144" s="458"/>
      <c r="J144" s="152"/>
      <c r="K144" s="153"/>
      <c r="L144" s="153"/>
      <c r="N144" s="153"/>
    </row>
    <row r="145" spans="1:14" s="147" customFormat="1" ht="15.75" customHeight="1">
      <c r="A145" s="164" t="s">
        <v>235</v>
      </c>
      <c r="B145" s="165"/>
      <c r="C145" s="867">
        <f>SUM(C146:C148)</f>
        <v>874000000</v>
      </c>
      <c r="D145" s="868">
        <v>0</v>
      </c>
      <c r="E145" s="867">
        <f t="shared" si="5"/>
        <v>874000000</v>
      </c>
      <c r="F145" s="166"/>
      <c r="G145" s="459"/>
      <c r="H145" s="168"/>
      <c r="I145" s="458"/>
      <c r="J145" s="152"/>
      <c r="K145" s="153"/>
      <c r="L145" s="153"/>
      <c r="N145" s="153"/>
    </row>
    <row r="146" spans="1:14" s="147" customFormat="1" ht="15.75" customHeight="1">
      <c r="A146" s="170"/>
      <c r="B146" s="165" t="s">
        <v>236</v>
      </c>
      <c r="C146" s="867">
        <f>+I146</f>
        <v>0</v>
      </c>
      <c r="D146" s="868">
        <v>0</v>
      </c>
      <c r="E146" s="867">
        <f t="shared" si="5"/>
        <v>0</v>
      </c>
      <c r="F146" s="166"/>
      <c r="G146" s="459"/>
      <c r="H146" s="168"/>
      <c r="I146" s="458"/>
      <c r="J146" s="152"/>
      <c r="K146" s="153"/>
      <c r="L146" s="153"/>
      <c r="N146" s="153"/>
    </row>
    <row r="147" spans="1:14" s="147" customFormat="1" ht="15.75" customHeight="1">
      <c r="A147" s="171"/>
      <c r="B147" s="165" t="s">
        <v>237</v>
      </c>
      <c r="C147" s="867">
        <f>872000000+2000000</f>
        <v>874000000</v>
      </c>
      <c r="D147" s="868">
        <v>0</v>
      </c>
      <c r="E147" s="867">
        <f t="shared" si="5"/>
        <v>874000000</v>
      </c>
      <c r="F147" s="166" t="s">
        <v>841</v>
      </c>
      <c r="G147" s="459"/>
      <c r="H147" s="168"/>
      <c r="I147" s="458">
        <f>+C147</f>
        <v>874000000</v>
      </c>
      <c r="J147" s="152"/>
      <c r="K147" s="153"/>
      <c r="L147" s="153"/>
      <c r="N147" s="153"/>
    </row>
    <row r="148" spans="1:14" s="147" customFormat="1" ht="15.75" customHeight="1">
      <c r="A148" s="178"/>
      <c r="B148" s="165" t="s">
        <v>238</v>
      </c>
      <c r="C148" s="867">
        <f>+I148</f>
        <v>0</v>
      </c>
      <c r="D148" s="868">
        <v>0</v>
      </c>
      <c r="E148" s="867">
        <f t="shared" si="5"/>
        <v>0</v>
      </c>
      <c r="F148" s="166" t="s">
        <v>92</v>
      </c>
      <c r="G148" s="459"/>
      <c r="H148" s="168" t="s">
        <v>92</v>
      </c>
      <c r="I148" s="458"/>
      <c r="J148" s="152"/>
      <c r="K148" s="153"/>
      <c r="L148" s="153"/>
      <c r="N148" s="153"/>
    </row>
    <row r="149" spans="1:15" s="147" customFormat="1" ht="15.75" customHeight="1">
      <c r="A149" s="216" t="s">
        <v>239</v>
      </c>
      <c r="B149" s="217"/>
      <c r="C149" s="887">
        <f>SUM(C150+C185)</f>
        <v>186508000000</v>
      </c>
      <c r="D149" s="887">
        <f>SUM(D150+D185)</f>
        <v>294001000000</v>
      </c>
      <c r="E149" s="887">
        <f>C149-D149</f>
        <v>-107493000000</v>
      </c>
      <c r="F149" s="166"/>
      <c r="G149" s="459"/>
      <c r="H149" s="168"/>
      <c r="I149" s="458"/>
      <c r="J149" s="152"/>
      <c r="K149" s="153"/>
      <c r="L149" s="153"/>
      <c r="N149" s="153"/>
      <c r="O149" s="150"/>
    </row>
    <row r="150" spans="1:14" s="147" customFormat="1" ht="15.75" customHeight="1">
      <c r="A150" s="178" t="s">
        <v>240</v>
      </c>
      <c r="B150" s="192"/>
      <c r="C150" s="876">
        <f>+C151+C154+C159+C171+C175+C176+C177+C178</f>
        <v>186233000000</v>
      </c>
      <c r="D150" s="876">
        <f>SUM(D151:D183)</f>
        <v>293801000000</v>
      </c>
      <c r="E150" s="876">
        <f>C150-D150</f>
        <v>-107568000000</v>
      </c>
      <c r="F150" s="181"/>
      <c r="G150" s="460"/>
      <c r="H150" s="182"/>
      <c r="I150" s="473"/>
      <c r="J150" s="152"/>
      <c r="K150" s="153"/>
      <c r="L150" s="153"/>
      <c r="N150" s="153"/>
    </row>
    <row r="151" spans="1:14" s="147" customFormat="1" ht="15.75" customHeight="1">
      <c r="A151" s="171"/>
      <c r="B151" s="186" t="s">
        <v>241</v>
      </c>
      <c r="C151" s="881">
        <f>42000000+100000000</f>
        <v>142000000</v>
      </c>
      <c r="D151" s="873"/>
      <c r="E151" s="872">
        <f>C151-D151</f>
        <v>142000000</v>
      </c>
      <c r="F151" s="184" t="s">
        <v>830</v>
      </c>
      <c r="G151" s="190"/>
      <c r="H151" s="188"/>
      <c r="I151" s="191">
        <v>42000000</v>
      </c>
      <c r="J151" s="152"/>
      <c r="K151" s="153"/>
      <c r="L151" s="153"/>
      <c r="N151" s="153"/>
    </row>
    <row r="152" spans="1:14" s="147" customFormat="1" ht="15.75" customHeight="1">
      <c r="A152" s="171"/>
      <c r="B152" s="186"/>
      <c r="C152" s="888"/>
      <c r="D152" s="890"/>
      <c r="E152" s="874"/>
      <c r="F152" s="721" t="s">
        <v>1127</v>
      </c>
      <c r="G152" s="190"/>
      <c r="H152" s="188"/>
      <c r="I152" s="191">
        <v>100000000</v>
      </c>
      <c r="J152" s="152"/>
      <c r="K152" s="153"/>
      <c r="L152" s="153"/>
      <c r="N152" s="153"/>
    </row>
    <row r="153" spans="1:14" s="147" customFormat="1" ht="15.75" customHeight="1">
      <c r="A153" s="171"/>
      <c r="B153" s="186"/>
      <c r="C153" s="891"/>
      <c r="D153" s="892"/>
      <c r="E153" s="876"/>
      <c r="F153" s="226" t="s">
        <v>147</v>
      </c>
      <c r="G153" s="470"/>
      <c r="H153" s="227"/>
      <c r="I153" s="793">
        <f>SUM(I151:K152)</f>
        <v>142000000</v>
      </c>
      <c r="J153" s="152"/>
      <c r="K153" s="153"/>
      <c r="L153" s="153"/>
      <c r="N153" s="153"/>
    </row>
    <row r="154" spans="1:14" s="147" customFormat="1" ht="15.75" customHeight="1">
      <c r="A154" s="171"/>
      <c r="B154" s="183" t="s">
        <v>242</v>
      </c>
      <c r="C154" s="888">
        <f>2890000000+95813349894</f>
        <v>98703349894</v>
      </c>
      <c r="D154" s="877">
        <v>1200000000</v>
      </c>
      <c r="E154" s="872">
        <f>C154-D154</f>
        <v>97503349894</v>
      </c>
      <c r="F154" s="184" t="s">
        <v>826</v>
      </c>
      <c r="G154" s="471"/>
      <c r="H154" s="241"/>
      <c r="I154" s="243">
        <v>1843844000</v>
      </c>
      <c r="J154" s="152"/>
      <c r="K154" s="153"/>
      <c r="L154" s="153"/>
      <c r="N154" s="153"/>
    </row>
    <row r="155" spans="1:14" s="147" customFormat="1" ht="15.75" customHeight="1">
      <c r="A155" s="171"/>
      <c r="B155" s="186"/>
      <c r="C155" s="888"/>
      <c r="D155" s="875"/>
      <c r="E155" s="874"/>
      <c r="F155" s="242" t="s">
        <v>830</v>
      </c>
      <c r="G155" s="470"/>
      <c r="H155" s="241"/>
      <c r="I155" s="243">
        <v>86306000</v>
      </c>
      <c r="J155" s="152"/>
      <c r="K155" s="153"/>
      <c r="L155" s="153"/>
      <c r="N155" s="153"/>
    </row>
    <row r="156" spans="1:14" s="147" customFormat="1" ht="15.75" customHeight="1">
      <c r="A156" s="171"/>
      <c r="B156" s="186"/>
      <c r="C156" s="888"/>
      <c r="D156" s="875"/>
      <c r="E156" s="874"/>
      <c r="F156" s="242" t="s">
        <v>827</v>
      </c>
      <c r="G156" s="470"/>
      <c r="H156" s="241"/>
      <c r="I156" s="243">
        <v>959850000</v>
      </c>
      <c r="J156" s="152"/>
      <c r="K156" s="153"/>
      <c r="L156" s="153"/>
      <c r="N156" s="153"/>
    </row>
    <row r="157" spans="1:14" s="147" customFormat="1" ht="15.75" customHeight="1">
      <c r="A157" s="171"/>
      <c r="B157" s="186"/>
      <c r="C157" s="888"/>
      <c r="D157" s="875"/>
      <c r="E157" s="874"/>
      <c r="F157" s="242" t="s">
        <v>1083</v>
      </c>
      <c r="G157" s="470"/>
      <c r="H157" s="241"/>
      <c r="I157" s="243">
        <v>95813349894</v>
      </c>
      <c r="J157" s="152"/>
      <c r="K157" s="153"/>
      <c r="L157" s="153"/>
      <c r="N157" s="153"/>
    </row>
    <row r="158" spans="1:14" s="147" customFormat="1" ht="15.75" customHeight="1">
      <c r="A158" s="249"/>
      <c r="B158" s="250"/>
      <c r="C158" s="882"/>
      <c r="D158" s="883"/>
      <c r="E158" s="882"/>
      <c r="F158" s="254" t="s">
        <v>147</v>
      </c>
      <c r="G158" s="462"/>
      <c r="H158" s="252"/>
      <c r="I158" s="255">
        <f>SUM(I154:I157)</f>
        <v>98703349894</v>
      </c>
      <c r="J158" s="173"/>
      <c r="K158" s="153"/>
      <c r="L158" s="153"/>
      <c r="N158" s="153"/>
    </row>
    <row r="159" spans="1:14" s="147" customFormat="1" ht="15.75" customHeight="1">
      <c r="A159" s="171" t="s">
        <v>240</v>
      </c>
      <c r="B159" s="186" t="s">
        <v>243</v>
      </c>
      <c r="C159" s="874">
        <f>6000000000+50000000000</f>
        <v>56000000000</v>
      </c>
      <c r="D159" s="875">
        <f>6000000000+150000000000</f>
        <v>156000000000</v>
      </c>
      <c r="E159" s="874">
        <f>C159-D159</f>
        <v>-100000000000</v>
      </c>
      <c r="F159" s="721" t="s">
        <v>844</v>
      </c>
      <c r="G159" s="190"/>
      <c r="H159" s="188"/>
      <c r="I159" s="191">
        <v>2800000000</v>
      </c>
      <c r="J159" s="152"/>
      <c r="K159" s="153"/>
      <c r="L159" s="153"/>
      <c r="N159" s="153"/>
    </row>
    <row r="160" spans="1:14" s="147" customFormat="1" ht="15.75" customHeight="1">
      <c r="A160" s="171"/>
      <c r="B160" s="186"/>
      <c r="C160" s="874"/>
      <c r="D160" s="875"/>
      <c r="E160" s="874"/>
      <c r="F160" s="721" t="s">
        <v>847</v>
      </c>
      <c r="G160" s="190"/>
      <c r="H160" s="188"/>
      <c r="I160" s="191">
        <v>200000000</v>
      </c>
      <c r="J160" s="152"/>
      <c r="K160" s="153"/>
      <c r="L160" s="153"/>
      <c r="N160" s="153"/>
    </row>
    <row r="161" spans="1:14" s="147" customFormat="1" ht="15.75" customHeight="1">
      <c r="A161" s="171"/>
      <c r="B161" s="186"/>
      <c r="C161" s="874"/>
      <c r="D161" s="875"/>
      <c r="E161" s="874"/>
      <c r="F161" s="721" t="s">
        <v>837</v>
      </c>
      <c r="G161" s="190"/>
      <c r="H161" s="188"/>
      <c r="I161" s="191">
        <v>125000000</v>
      </c>
      <c r="J161" s="152"/>
      <c r="K161" s="153"/>
      <c r="L161" s="153"/>
      <c r="N161" s="153"/>
    </row>
    <row r="162" spans="1:14" s="147" customFormat="1" ht="15.75" customHeight="1">
      <c r="A162" s="171"/>
      <c r="B162" s="186"/>
      <c r="C162" s="874"/>
      <c r="D162" s="875"/>
      <c r="E162" s="874"/>
      <c r="F162" s="721" t="s">
        <v>838</v>
      </c>
      <c r="G162" s="190"/>
      <c r="H162" s="188"/>
      <c r="I162" s="191">
        <v>94000000</v>
      </c>
      <c r="J162" s="152"/>
      <c r="K162" s="153"/>
      <c r="L162" s="153"/>
      <c r="N162" s="153"/>
    </row>
    <row r="163" spans="1:14" s="147" customFormat="1" ht="15.75" customHeight="1">
      <c r="A163" s="171"/>
      <c r="B163" s="186"/>
      <c r="C163" s="874"/>
      <c r="D163" s="875"/>
      <c r="E163" s="874"/>
      <c r="F163" s="721" t="s">
        <v>839</v>
      </c>
      <c r="G163" s="190"/>
      <c r="H163" s="188"/>
      <c r="I163" s="191">
        <v>73000000</v>
      </c>
      <c r="J163" s="152"/>
      <c r="K163" s="153"/>
      <c r="L163" s="153"/>
      <c r="N163" s="153"/>
    </row>
    <row r="164" spans="1:14" s="147" customFormat="1" ht="15.75" customHeight="1">
      <c r="A164" s="171"/>
      <c r="B164" s="186"/>
      <c r="C164" s="874"/>
      <c r="D164" s="875"/>
      <c r="E164" s="874"/>
      <c r="F164" s="198" t="s">
        <v>840</v>
      </c>
      <c r="G164" s="190"/>
      <c r="H164" s="188"/>
      <c r="I164" s="191">
        <v>53900000</v>
      </c>
      <c r="J164" s="152"/>
      <c r="K164" s="153"/>
      <c r="L164" s="153"/>
      <c r="N164" s="153"/>
    </row>
    <row r="165" spans="1:14" s="147" customFormat="1" ht="15.75" customHeight="1">
      <c r="A165" s="171"/>
      <c r="B165" s="186"/>
      <c r="C165" s="874"/>
      <c r="D165" s="875"/>
      <c r="E165" s="874"/>
      <c r="F165" s="721" t="s">
        <v>846</v>
      </c>
      <c r="G165" s="190"/>
      <c r="H165" s="188"/>
      <c r="I165" s="191">
        <v>2100000000</v>
      </c>
      <c r="J165" s="152"/>
      <c r="K165" s="153"/>
      <c r="L165" s="153"/>
      <c r="N165" s="153"/>
    </row>
    <row r="166" spans="1:14" s="147" customFormat="1" ht="15.75" customHeight="1">
      <c r="A166" s="171"/>
      <c r="B166" s="186"/>
      <c r="C166" s="874"/>
      <c r="D166" s="875"/>
      <c r="E166" s="874"/>
      <c r="F166" s="721" t="s">
        <v>845</v>
      </c>
      <c r="G166" s="190"/>
      <c r="H166" s="188"/>
      <c r="I166" s="191">
        <v>450000000</v>
      </c>
      <c r="J166" s="152"/>
      <c r="K166" s="153"/>
      <c r="L166" s="153"/>
      <c r="N166" s="153"/>
    </row>
    <row r="167" spans="1:14" s="147" customFormat="1" ht="15.75" customHeight="1">
      <c r="A167" s="171"/>
      <c r="B167" s="186"/>
      <c r="C167" s="874"/>
      <c r="D167" s="875"/>
      <c r="E167" s="874"/>
      <c r="F167" s="721" t="s">
        <v>573</v>
      </c>
      <c r="G167" s="190"/>
      <c r="H167" s="188"/>
      <c r="I167" s="191">
        <v>104100000</v>
      </c>
      <c r="J167" s="152"/>
      <c r="K167" s="153"/>
      <c r="L167" s="153"/>
      <c r="N167" s="153"/>
    </row>
    <row r="168" spans="1:14" s="147" customFormat="1" ht="15.75" customHeight="1" hidden="1">
      <c r="A168" s="171"/>
      <c r="B168" s="186"/>
      <c r="C168" s="874"/>
      <c r="D168" s="875"/>
      <c r="E168" s="874"/>
      <c r="F168" s="721"/>
      <c r="G168" s="190"/>
      <c r="H168" s="188"/>
      <c r="I168" s="191"/>
      <c r="J168" s="152"/>
      <c r="K168" s="153"/>
      <c r="L168" s="153">
        <f>1637469+17400000+1945914+14378400+1000</f>
        <v>35362783</v>
      </c>
      <c r="N168" s="153"/>
    </row>
    <row r="169" spans="1:14" s="147" customFormat="1" ht="15.75" customHeight="1">
      <c r="A169" s="171"/>
      <c r="B169" s="186"/>
      <c r="C169" s="874"/>
      <c r="D169" s="875"/>
      <c r="E169" s="874"/>
      <c r="F169" s="721" t="s">
        <v>1084</v>
      </c>
      <c r="G169" s="190"/>
      <c r="H169" s="188"/>
      <c r="I169" s="191">
        <v>50000000000</v>
      </c>
      <c r="J169" s="152"/>
      <c r="K169" s="153"/>
      <c r="L169" s="153"/>
      <c r="N169" s="153"/>
    </row>
    <row r="170" spans="1:14" s="147" customFormat="1" ht="15.75" customHeight="1" thickBot="1">
      <c r="A170" s="949"/>
      <c r="B170" s="950"/>
      <c r="C170" s="951"/>
      <c r="D170" s="952"/>
      <c r="E170" s="951"/>
      <c r="F170" s="953" t="s">
        <v>147</v>
      </c>
      <c r="G170" s="954"/>
      <c r="H170" s="955"/>
      <c r="I170" s="956">
        <f>SUM(I159:I169)</f>
        <v>56000000000</v>
      </c>
      <c r="J170" s="152">
        <v>6842743</v>
      </c>
      <c r="K170" s="153"/>
      <c r="L170" s="153"/>
      <c r="N170" s="153"/>
    </row>
    <row r="171" spans="1:14" s="147" customFormat="1" ht="15.75" customHeight="1">
      <c r="A171" s="171"/>
      <c r="B171" s="186" t="s">
        <v>244</v>
      </c>
      <c r="C171" s="888">
        <f>5100000000+21883371898</f>
        <v>26983371898</v>
      </c>
      <c r="D171" s="875">
        <v>5100000000</v>
      </c>
      <c r="E171" s="874">
        <f>C171-D171</f>
        <v>21883371898</v>
      </c>
      <c r="F171" s="228" t="s">
        <v>301</v>
      </c>
      <c r="G171" s="469"/>
      <c r="H171" s="221"/>
      <c r="I171" s="480">
        <f>4100000000+17506697518</f>
        <v>21606697518</v>
      </c>
      <c r="J171" s="152">
        <f>J170-I170</f>
        <v>-55993157257</v>
      </c>
      <c r="K171" s="153"/>
      <c r="L171" s="153"/>
      <c r="N171" s="153"/>
    </row>
    <row r="172" spans="1:14" s="147" customFormat="1" ht="15.75" customHeight="1">
      <c r="A172" s="171"/>
      <c r="B172" s="186"/>
      <c r="C172" s="888"/>
      <c r="D172" s="875"/>
      <c r="E172" s="874"/>
      <c r="F172" s="228" t="s">
        <v>308</v>
      </c>
      <c r="G172" s="469"/>
      <c r="H172" s="221"/>
      <c r="I172" s="480">
        <f>1000000000+4376674380</f>
        <v>5376674380</v>
      </c>
      <c r="J172" s="152"/>
      <c r="K172" s="153"/>
      <c r="L172" s="153"/>
      <c r="N172" s="153"/>
    </row>
    <row r="173" spans="1:14" s="147" customFormat="1" ht="15.75" customHeight="1">
      <c r="A173" s="171"/>
      <c r="B173" s="186"/>
      <c r="C173" s="888"/>
      <c r="D173" s="875"/>
      <c r="E173" s="874"/>
      <c r="F173" s="228"/>
      <c r="G173" s="469"/>
      <c r="H173" s="221"/>
      <c r="I173" s="480"/>
      <c r="J173" s="152"/>
      <c r="K173" s="153"/>
      <c r="L173" s="153"/>
      <c r="N173" s="153"/>
    </row>
    <row r="174" spans="1:14" s="147" customFormat="1" ht="15.75" customHeight="1">
      <c r="A174" s="171"/>
      <c r="B174" s="186"/>
      <c r="C174" s="891"/>
      <c r="D174" s="886"/>
      <c r="E174" s="876"/>
      <c r="F174" s="226" t="s">
        <v>147</v>
      </c>
      <c r="G174" s="470"/>
      <c r="H174" s="227"/>
      <c r="I174" s="229">
        <f>SUM(I171:I173)</f>
        <v>26983371898</v>
      </c>
      <c r="J174" s="152"/>
      <c r="K174" s="153"/>
      <c r="L174" s="153"/>
      <c r="N174" s="153"/>
    </row>
    <row r="175" spans="1:14" s="147" customFormat="1" ht="15.75" customHeight="1">
      <c r="A175" s="171"/>
      <c r="B175" s="230" t="s">
        <v>245</v>
      </c>
      <c r="C175" s="867">
        <f>703278208</f>
        <v>703278208</v>
      </c>
      <c r="D175" s="878">
        <v>0</v>
      </c>
      <c r="E175" s="867">
        <f>C175-D175</f>
        <v>703278208</v>
      </c>
      <c r="F175" s="184" t="s">
        <v>342</v>
      </c>
      <c r="G175" s="189"/>
      <c r="H175" s="185"/>
      <c r="I175" s="474">
        <f>+C175</f>
        <v>703278208</v>
      </c>
      <c r="J175" s="152"/>
      <c r="K175" s="153"/>
      <c r="L175" s="153"/>
      <c r="N175" s="153"/>
    </row>
    <row r="176" spans="1:14" s="147" customFormat="1" ht="15.75" customHeight="1">
      <c r="A176" s="171"/>
      <c r="B176" s="165" t="s">
        <v>246</v>
      </c>
      <c r="C176" s="867">
        <f>1000000+500000000</f>
        <v>501000000</v>
      </c>
      <c r="D176" s="868">
        <v>1000000</v>
      </c>
      <c r="E176" s="867">
        <f>C176-D176</f>
        <v>500000000</v>
      </c>
      <c r="F176" s="166" t="s">
        <v>302</v>
      </c>
      <c r="G176" s="459"/>
      <c r="H176" s="168"/>
      <c r="I176" s="458">
        <f>+C176</f>
        <v>501000000</v>
      </c>
      <c r="J176" s="152"/>
      <c r="K176" s="153"/>
      <c r="L176" s="153"/>
      <c r="N176" s="153"/>
    </row>
    <row r="177" spans="1:14" s="147" customFormat="1" ht="15.75" customHeight="1">
      <c r="A177" s="171"/>
      <c r="B177" s="183" t="s">
        <v>341</v>
      </c>
      <c r="C177" s="872">
        <f>1000000000</f>
        <v>1000000000</v>
      </c>
      <c r="D177" s="868">
        <v>0</v>
      </c>
      <c r="E177" s="872">
        <v>0</v>
      </c>
      <c r="F177" s="184"/>
      <c r="G177" s="189"/>
      <c r="H177" s="185"/>
      <c r="I177" s="474">
        <f>+C177</f>
        <v>1000000000</v>
      </c>
      <c r="J177" s="152"/>
      <c r="K177" s="153"/>
      <c r="L177" s="153"/>
      <c r="N177" s="153"/>
    </row>
    <row r="178" spans="1:14" s="147" customFormat="1" ht="15.75" customHeight="1">
      <c r="A178" s="171"/>
      <c r="B178" s="183" t="s">
        <v>247</v>
      </c>
      <c r="C178" s="872">
        <f>+I183</f>
        <v>2200000000</v>
      </c>
      <c r="D178" s="877">
        <v>131500000000</v>
      </c>
      <c r="E178" s="872">
        <f>C178-D178</f>
        <v>-129300000000</v>
      </c>
      <c r="F178" s="184" t="s">
        <v>834</v>
      </c>
      <c r="G178" s="472"/>
      <c r="H178" s="185"/>
      <c r="I178" s="474">
        <v>1500000000</v>
      </c>
      <c r="J178" s="152"/>
      <c r="K178" s="153"/>
      <c r="L178" s="153"/>
      <c r="N178" s="153"/>
    </row>
    <row r="179" spans="1:14" s="147" customFormat="1" ht="15.75" customHeight="1">
      <c r="A179" s="171"/>
      <c r="B179" s="186"/>
      <c r="C179" s="874"/>
      <c r="D179" s="875"/>
      <c r="E179" s="874"/>
      <c r="F179" s="721" t="s">
        <v>835</v>
      </c>
      <c r="G179" s="481"/>
      <c r="H179" s="188"/>
      <c r="I179" s="191">
        <v>200000000</v>
      </c>
      <c r="J179" s="152"/>
      <c r="K179" s="153"/>
      <c r="L179" s="153"/>
      <c r="N179" s="153"/>
    </row>
    <row r="180" spans="1:14" s="147" customFormat="1" ht="15.75" customHeight="1">
      <c r="A180" s="171"/>
      <c r="B180" s="186"/>
      <c r="C180" s="874"/>
      <c r="D180" s="875">
        <v>0</v>
      </c>
      <c r="E180" s="874"/>
      <c r="F180" s="721" t="s">
        <v>836</v>
      </c>
      <c r="G180" s="190"/>
      <c r="H180" s="188"/>
      <c r="I180" s="191">
        <v>500000000</v>
      </c>
      <c r="J180" s="152"/>
      <c r="K180" s="153"/>
      <c r="L180" s="153"/>
      <c r="N180" s="153"/>
    </row>
    <row r="181" spans="1:14" s="147" customFormat="1" ht="15.75" customHeight="1">
      <c r="A181" s="171"/>
      <c r="B181" s="186"/>
      <c r="C181" s="874"/>
      <c r="D181" s="875"/>
      <c r="E181" s="874"/>
      <c r="F181" s="721"/>
      <c r="G181" s="190"/>
      <c r="H181" s="188"/>
      <c r="I181" s="191"/>
      <c r="J181" s="152"/>
      <c r="K181" s="153"/>
      <c r="L181" s="153"/>
      <c r="N181" s="153"/>
    </row>
    <row r="182" spans="1:14" s="147" customFormat="1" ht="15.75" customHeight="1">
      <c r="A182" s="171"/>
      <c r="B182" s="186"/>
      <c r="C182" s="874"/>
      <c r="D182" s="875">
        <v>0</v>
      </c>
      <c r="E182" s="874"/>
      <c r="F182" s="228"/>
      <c r="G182" s="190"/>
      <c r="H182" s="188"/>
      <c r="I182" s="191"/>
      <c r="J182" s="152"/>
      <c r="K182" s="153"/>
      <c r="L182" s="153"/>
      <c r="N182" s="153"/>
    </row>
    <row r="183" spans="1:14" s="147" customFormat="1" ht="15.75" customHeight="1">
      <c r="A183" s="178"/>
      <c r="B183" s="192"/>
      <c r="C183" s="876"/>
      <c r="D183" s="875">
        <v>0</v>
      </c>
      <c r="E183" s="876"/>
      <c r="F183" s="226" t="s">
        <v>147</v>
      </c>
      <c r="G183" s="460"/>
      <c r="H183" s="182"/>
      <c r="I183" s="194">
        <f>SUM(I178:I182)</f>
        <v>2200000000</v>
      </c>
      <c r="J183" s="152"/>
      <c r="K183" s="153"/>
      <c r="L183" s="153"/>
      <c r="N183" s="153"/>
    </row>
    <row r="184" spans="1:14" s="147" customFormat="1" ht="15.75" customHeight="1">
      <c r="A184" s="178" t="s">
        <v>819</v>
      </c>
      <c r="B184" s="192"/>
      <c r="C184" s="876">
        <f>+C185</f>
        <v>275000000</v>
      </c>
      <c r="D184" s="867">
        <f>+D185</f>
        <v>200000000</v>
      </c>
      <c r="E184" s="876">
        <f>C184-D184</f>
        <v>75000000</v>
      </c>
      <c r="F184" s="730"/>
      <c r="G184" s="460"/>
      <c r="H184" s="182"/>
      <c r="I184" s="473"/>
      <c r="J184" s="152"/>
      <c r="K184" s="153"/>
      <c r="L184" s="153"/>
      <c r="N184" s="153"/>
    </row>
    <row r="185" spans="1:14" s="147" customFormat="1" ht="15.75" customHeight="1">
      <c r="A185" s="164"/>
      <c r="B185" s="813" t="s">
        <v>820</v>
      </c>
      <c r="C185" s="876">
        <f>+I185</f>
        <v>275000000</v>
      </c>
      <c r="D185" s="875">
        <v>200000000</v>
      </c>
      <c r="E185" s="876">
        <f>C185-D185</f>
        <v>75000000</v>
      </c>
      <c r="F185" s="730" t="s">
        <v>786</v>
      </c>
      <c r="G185" s="460"/>
      <c r="H185" s="182"/>
      <c r="I185" s="473">
        <f>+'20년 추경지출(대전)'!H101</f>
        <v>275000000</v>
      </c>
      <c r="J185" s="152"/>
      <c r="K185" s="153"/>
      <c r="L185" s="153"/>
      <c r="N185" s="153"/>
    </row>
    <row r="186" spans="1:14" s="147" customFormat="1" ht="15.75" customHeight="1">
      <c r="A186" s="179" t="s">
        <v>248</v>
      </c>
      <c r="B186" s="180"/>
      <c r="C186" s="871">
        <f>SUM(C187)</f>
        <v>0</v>
      </c>
      <c r="D186" s="889">
        <v>0</v>
      </c>
      <c r="E186" s="876">
        <f>C186-D186</f>
        <v>0</v>
      </c>
      <c r="F186" s="181"/>
      <c r="G186" s="460"/>
      <c r="H186" s="182"/>
      <c r="I186" s="473"/>
      <c r="J186" s="152"/>
      <c r="K186" s="153"/>
      <c r="L186" s="153"/>
      <c r="N186" s="153"/>
    </row>
    <row r="187" spans="1:14" s="147" customFormat="1" ht="15.75" customHeight="1">
      <c r="A187" s="164" t="s">
        <v>249</v>
      </c>
      <c r="B187" s="165"/>
      <c r="C187" s="867">
        <f>SUM(C188)</f>
        <v>0</v>
      </c>
      <c r="D187" s="889">
        <v>0</v>
      </c>
      <c r="E187" s="867">
        <f>C187-D187</f>
        <v>0</v>
      </c>
      <c r="F187" s="166"/>
      <c r="G187" s="459"/>
      <c r="H187" s="168"/>
      <c r="I187" s="458"/>
      <c r="J187" s="152"/>
      <c r="K187" s="153"/>
      <c r="L187" s="153"/>
      <c r="N187" s="153"/>
    </row>
    <row r="188" spans="1:14" s="147" customFormat="1" ht="15.75" customHeight="1">
      <c r="A188" s="164"/>
      <c r="B188" s="165" t="s">
        <v>250</v>
      </c>
      <c r="C188" s="867">
        <f>+I188</f>
        <v>0</v>
      </c>
      <c r="D188" s="876">
        <v>0</v>
      </c>
      <c r="E188" s="867">
        <f>C188-D188</f>
        <v>0</v>
      </c>
      <c r="F188" s="166"/>
      <c r="G188" s="459"/>
      <c r="H188" s="168"/>
      <c r="I188" s="458"/>
      <c r="J188" s="152"/>
      <c r="K188" s="153"/>
      <c r="L188" s="153"/>
      <c r="N188" s="153"/>
    </row>
    <row r="189" spans="1:15" s="147" customFormat="1" ht="15.75" customHeight="1">
      <c r="A189" s="179" t="s">
        <v>251</v>
      </c>
      <c r="B189" s="180"/>
      <c r="C189" s="871">
        <f>SUM(C190+C193)</f>
        <v>430000000</v>
      </c>
      <c r="D189" s="887">
        <v>0</v>
      </c>
      <c r="E189" s="887">
        <f aca="true" t="shared" si="6" ref="E189:E198">C189-D189</f>
        <v>430000000</v>
      </c>
      <c r="F189" s="181"/>
      <c r="G189" s="460"/>
      <c r="H189" s="182"/>
      <c r="I189" s="473"/>
      <c r="J189" s="152"/>
      <c r="K189" s="153"/>
      <c r="L189" s="153"/>
      <c r="N189" s="153"/>
      <c r="O189" s="150"/>
    </row>
    <row r="190" spans="1:14" s="147" customFormat="1" ht="15.75" customHeight="1">
      <c r="A190" s="164" t="s">
        <v>252</v>
      </c>
      <c r="B190" s="165"/>
      <c r="C190" s="867">
        <f>SUM(C191:C192)</f>
        <v>0</v>
      </c>
      <c r="D190" s="867">
        <v>0</v>
      </c>
      <c r="E190" s="867">
        <f t="shared" si="6"/>
        <v>0</v>
      </c>
      <c r="F190" s="166"/>
      <c r="G190" s="459"/>
      <c r="H190" s="168"/>
      <c r="I190" s="458"/>
      <c r="J190" s="152"/>
      <c r="K190" s="153"/>
      <c r="L190" s="153"/>
      <c r="N190" s="153"/>
    </row>
    <row r="191" spans="1:14" s="147" customFormat="1" ht="15.75" customHeight="1">
      <c r="A191" s="170"/>
      <c r="B191" s="165" t="s">
        <v>253</v>
      </c>
      <c r="C191" s="867">
        <f>+I191</f>
        <v>0</v>
      </c>
      <c r="D191" s="867">
        <v>0</v>
      </c>
      <c r="E191" s="867">
        <f t="shared" si="6"/>
        <v>0</v>
      </c>
      <c r="F191" s="168"/>
      <c r="G191" s="459"/>
      <c r="H191" s="168"/>
      <c r="I191" s="458"/>
      <c r="J191" s="152"/>
      <c r="K191" s="153"/>
      <c r="L191" s="153"/>
      <c r="N191" s="153"/>
    </row>
    <row r="192" spans="1:14" s="147" customFormat="1" ht="15.75" customHeight="1">
      <c r="A192" s="178"/>
      <c r="B192" s="165" t="s">
        <v>254</v>
      </c>
      <c r="C192" s="867">
        <f>+I192</f>
        <v>0</v>
      </c>
      <c r="D192" s="867">
        <v>0</v>
      </c>
      <c r="E192" s="867">
        <f t="shared" si="6"/>
        <v>0</v>
      </c>
      <c r="F192" s="166"/>
      <c r="G192" s="459"/>
      <c r="H192" s="168"/>
      <c r="I192" s="458"/>
      <c r="J192" s="152"/>
      <c r="K192" s="153"/>
      <c r="L192" s="153"/>
      <c r="N192" s="153"/>
    </row>
    <row r="193" spans="1:14" s="147" customFormat="1" ht="15.75" customHeight="1">
      <c r="A193" s="178" t="s">
        <v>255</v>
      </c>
      <c r="B193" s="192"/>
      <c r="C193" s="876">
        <f>SUM(C194:C196)</f>
        <v>430000000</v>
      </c>
      <c r="D193" s="876">
        <f>SUM(D194:D196)</f>
        <v>0</v>
      </c>
      <c r="E193" s="867">
        <f t="shared" si="6"/>
        <v>430000000</v>
      </c>
      <c r="F193" s="181"/>
      <c r="G193" s="460"/>
      <c r="H193" s="182"/>
      <c r="I193" s="473"/>
      <c r="J193" s="152"/>
      <c r="K193" s="153"/>
      <c r="L193" s="153"/>
      <c r="N193" s="153"/>
    </row>
    <row r="194" spans="1:14" s="147" customFormat="1" ht="15.75" customHeight="1">
      <c r="A194" s="170"/>
      <c r="B194" s="183" t="s">
        <v>256</v>
      </c>
      <c r="C194" s="872">
        <f>+I194</f>
        <v>430000000</v>
      </c>
      <c r="D194" s="872">
        <v>0</v>
      </c>
      <c r="E194" s="872">
        <f t="shared" si="6"/>
        <v>430000000</v>
      </c>
      <c r="F194" s="184" t="s">
        <v>1085</v>
      </c>
      <c r="G194" s="189"/>
      <c r="H194" s="185"/>
      <c r="I194" s="474">
        <f>+'20년 추경지출(대전)'!H107</f>
        <v>430000000</v>
      </c>
      <c r="J194" s="152">
        <f>D195</f>
        <v>0</v>
      </c>
      <c r="K194" s="153"/>
      <c r="L194" s="153"/>
      <c r="N194" s="153"/>
    </row>
    <row r="195" spans="1:14" s="147" customFormat="1" ht="15.75" customHeight="1">
      <c r="A195" s="171"/>
      <c r="B195" s="165" t="s">
        <v>257</v>
      </c>
      <c r="C195" s="867">
        <f>+I195</f>
        <v>0</v>
      </c>
      <c r="D195" s="872">
        <v>0</v>
      </c>
      <c r="E195" s="867">
        <f t="shared" si="6"/>
        <v>0</v>
      </c>
      <c r="F195" s="166"/>
      <c r="G195" s="459"/>
      <c r="H195" s="168"/>
      <c r="I195" s="458"/>
      <c r="J195" s="152"/>
      <c r="K195" s="153"/>
      <c r="L195" s="153"/>
      <c r="N195" s="153"/>
    </row>
    <row r="196" spans="1:14" s="147" customFormat="1" ht="15.75" customHeight="1">
      <c r="A196" s="171"/>
      <c r="B196" s="183" t="s">
        <v>258</v>
      </c>
      <c r="C196" s="872">
        <f>+I196</f>
        <v>0</v>
      </c>
      <c r="D196" s="872">
        <v>0</v>
      </c>
      <c r="E196" s="872">
        <f t="shared" si="6"/>
        <v>0</v>
      </c>
      <c r="F196" s="184" t="s">
        <v>20</v>
      </c>
      <c r="G196" s="189"/>
      <c r="H196" s="185"/>
      <c r="I196" s="474"/>
      <c r="J196" s="152"/>
      <c r="K196" s="153"/>
      <c r="L196" s="153"/>
      <c r="N196" s="153"/>
    </row>
    <row r="197" spans="1:14" s="147" customFormat="1" ht="15.75" customHeight="1">
      <c r="A197" s="231" t="s">
        <v>259</v>
      </c>
      <c r="B197" s="232"/>
      <c r="C197" s="893">
        <f>+'2020년추경예산안수입(대전+의정부) '!C108-C5-C22-C116-C120-C127-C137-C141-C149-C186-C189</f>
        <v>68567793801.54004</v>
      </c>
      <c r="D197" s="893">
        <f>'2020년추경예산안수입(대전+의정부) '!D108-D5-D22-D116-D120-D127-D137-D141-D149-D186-D189</f>
        <v>7881000000</v>
      </c>
      <c r="E197" s="893">
        <f t="shared" si="6"/>
        <v>60686793801.54004</v>
      </c>
      <c r="F197" s="233" t="s">
        <v>267</v>
      </c>
      <c r="G197" s="234"/>
      <c r="H197" s="235"/>
      <c r="I197" s="236">
        <f>C197</f>
        <v>68567793801.54004</v>
      </c>
      <c r="J197" s="152"/>
      <c r="K197" s="153"/>
      <c r="L197" s="153"/>
      <c r="N197" s="153"/>
    </row>
    <row r="198" spans="1:15" s="147" customFormat="1" ht="15.75" customHeight="1">
      <c r="A198" s="237" t="s">
        <v>268</v>
      </c>
      <c r="B198" s="238"/>
      <c r="C198" s="894">
        <f>SUM(C5+C22+C116+C120+C127+C137+C141+C149+C186+C189+C197)</f>
        <v>467245303801.54004</v>
      </c>
      <c r="D198" s="894">
        <f>SUM(D5+D22+D116+D120+D127+D137+D141+D149+D186+D189+D197)</f>
        <v>509329000000</v>
      </c>
      <c r="E198" s="893">
        <f t="shared" si="6"/>
        <v>-42083696198.45996</v>
      </c>
      <c r="F198" s="222"/>
      <c r="G198" s="223"/>
      <c r="H198" s="224"/>
      <c r="I198" s="225"/>
      <c r="J198" s="152">
        <f>SUM(J5:J197)</f>
        <v>-55318287461</v>
      </c>
      <c r="K198" s="153"/>
      <c r="L198" s="153"/>
      <c r="N198" s="153"/>
      <c r="O198" s="150"/>
    </row>
    <row r="199" spans="1:2" ht="13.5">
      <c r="A199" s="141"/>
      <c r="B199" s="141"/>
    </row>
    <row r="200" spans="1:2" ht="13.5">
      <c r="A200" s="141"/>
      <c r="B200" s="141"/>
    </row>
    <row r="201" spans="1:4" ht="13.5">
      <c r="A201" s="141"/>
      <c r="B201" s="141"/>
      <c r="C201" s="239"/>
      <c r="D201" s="239"/>
    </row>
    <row r="203" ht="13.5">
      <c r="E203" s="144">
        <v>10000000</v>
      </c>
    </row>
    <row r="204" spans="3:7" ht="13.5">
      <c r="C204" s="240">
        <f>+D204/209</f>
        <v>2392.3444976076553</v>
      </c>
      <c r="D204" s="240">
        <f>+$E$203*E204</f>
        <v>500000</v>
      </c>
      <c r="E204" s="484">
        <v>0.05</v>
      </c>
      <c r="G204" s="144">
        <v>100000000</v>
      </c>
    </row>
    <row r="205" spans="3:5" ht="13.5">
      <c r="C205" s="240">
        <f>+D205/209</f>
        <v>1995.2153110047848</v>
      </c>
      <c r="D205" s="240">
        <f>+$E$203*E205</f>
        <v>417000</v>
      </c>
      <c r="E205" s="484">
        <v>0.0417</v>
      </c>
    </row>
    <row r="206" spans="3:12" ht="13.5">
      <c r="C206" s="240">
        <f>+D206/209</f>
        <v>5263.1578947368425</v>
      </c>
      <c r="D206" s="240">
        <f>+$E$203*E206</f>
        <v>1100000</v>
      </c>
      <c r="E206" s="483">
        <v>0.11</v>
      </c>
      <c r="L206" s="146">
        <v>2000000</v>
      </c>
    </row>
    <row r="207" ht="13.5">
      <c r="L207" s="146">
        <v>24</v>
      </c>
    </row>
    <row r="208" ht="13.5">
      <c r="L208" s="146">
        <f>+L206*L207</f>
        <v>48000000</v>
      </c>
    </row>
  </sheetData>
  <sheetProtection/>
  <mergeCells count="15">
    <mergeCell ref="L100:L112"/>
    <mergeCell ref="L114:M115"/>
    <mergeCell ref="H139:I139"/>
    <mergeCell ref="C3:C4"/>
    <mergeCell ref="D3:D4"/>
    <mergeCell ref="E3:E4"/>
    <mergeCell ref="F3:I4"/>
    <mergeCell ref="J3:J4"/>
    <mergeCell ref="L24:L87"/>
    <mergeCell ref="H140:I140"/>
    <mergeCell ref="A139:A140"/>
    <mergeCell ref="B139:B140"/>
    <mergeCell ref="C139:C140"/>
    <mergeCell ref="D139:D140"/>
    <mergeCell ref="E139:E140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86" r:id="rId3"/>
  <rowBreaks count="5" manualBreakCount="5">
    <brk id="33" max="8" man="1"/>
    <brk id="65" max="8" man="1"/>
    <brk id="98" max="8" man="1"/>
    <brk id="134" max="8" man="1"/>
    <brk id="170" max="8" man="1"/>
  </rowBreaks>
  <ignoredErrors>
    <ignoredError sqref="I17 I20 C9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27"/>
  <sheetViews>
    <sheetView showGridLines="0" view="pageLayout" zoomScaleNormal="85" workbookViewId="0" topLeftCell="E1">
      <selection activeCell="J35" sqref="J35"/>
    </sheetView>
  </sheetViews>
  <sheetFormatPr defaultColWidth="8.88671875" defaultRowHeight="13.5"/>
  <cols>
    <col min="1" max="1" width="4.3359375" style="92" customWidth="1"/>
    <col min="2" max="2" width="15.10546875" style="92" customWidth="1"/>
    <col min="3" max="4" width="14.3359375" style="92" customWidth="1"/>
    <col min="5" max="5" width="16.10546875" style="92" bestFit="1" customWidth="1"/>
    <col min="6" max="6" width="5.99609375" style="92" customWidth="1"/>
    <col min="7" max="7" width="31.3359375" style="92" customWidth="1"/>
    <col min="8" max="8" width="4.5546875" style="92" customWidth="1"/>
    <col min="9" max="9" width="16.77734375" style="92" customWidth="1"/>
    <col min="10" max="11" width="14.3359375" style="92" customWidth="1"/>
    <col min="12" max="12" width="11.6640625" style="92" customWidth="1"/>
    <col min="13" max="13" width="5.99609375" style="838" customWidth="1"/>
    <col min="14" max="14" width="34.3359375" style="92" customWidth="1"/>
    <col min="15" max="15" width="16.10546875" style="92" bestFit="1" customWidth="1"/>
    <col min="16" max="16" width="18.10546875" style="92" bestFit="1" customWidth="1"/>
    <col min="17" max="16384" width="8.88671875" style="92" customWidth="1"/>
  </cols>
  <sheetData>
    <row r="1" ht="55.5" customHeight="1"/>
    <row r="2" spans="1:14" ht="39" customHeight="1">
      <c r="A2" s="976" t="s">
        <v>1088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</row>
    <row r="3" spans="1:14" ht="18" customHeight="1">
      <c r="A3" s="92" t="s">
        <v>1089</v>
      </c>
      <c r="E3" s="126"/>
      <c r="N3" s="98" t="s">
        <v>1090</v>
      </c>
    </row>
    <row r="4" spans="1:14" ht="22.5" customHeight="1">
      <c r="A4" s="977" t="s">
        <v>1091</v>
      </c>
      <c r="B4" s="978"/>
      <c r="C4" s="981" t="s">
        <v>1092</v>
      </c>
      <c r="D4" s="981" t="s">
        <v>1093</v>
      </c>
      <c r="E4" s="978" t="s">
        <v>1094</v>
      </c>
      <c r="F4" s="978" t="s">
        <v>1095</v>
      </c>
      <c r="G4" s="983" t="s">
        <v>1096</v>
      </c>
      <c r="H4" s="985" t="s">
        <v>1097</v>
      </c>
      <c r="I4" s="978"/>
      <c r="J4" s="981" t="str">
        <f>+C4</f>
        <v>2020년 추경예산</v>
      </c>
      <c r="K4" s="981" t="str">
        <f>+D4</f>
        <v>2020년 본예산</v>
      </c>
      <c r="L4" s="978" t="s">
        <v>1098</v>
      </c>
      <c r="M4" s="978" t="s">
        <v>1099</v>
      </c>
      <c r="N4" s="983" t="s">
        <v>1100</v>
      </c>
    </row>
    <row r="5" spans="1:14" ht="22.5" customHeight="1">
      <c r="A5" s="979"/>
      <c r="B5" s="980"/>
      <c r="C5" s="982"/>
      <c r="D5" s="982"/>
      <c r="E5" s="980"/>
      <c r="F5" s="980"/>
      <c r="G5" s="984"/>
      <c r="H5" s="986"/>
      <c r="I5" s="980"/>
      <c r="J5" s="982"/>
      <c r="K5" s="982"/>
      <c r="L5" s="980"/>
      <c r="M5" s="980"/>
      <c r="N5" s="984"/>
    </row>
    <row r="6" spans="1:18" ht="65.25" customHeight="1">
      <c r="A6" s="967" t="s">
        <v>1101</v>
      </c>
      <c r="B6" s="99" t="s">
        <v>1102</v>
      </c>
      <c r="C6" s="113">
        <f>+'2020년추경예산안수입(대전)'!C7</f>
        <v>208151503439.54</v>
      </c>
      <c r="D6" s="113">
        <f>+'2020년추경예산안수입(대전)'!D7</f>
        <v>208151503440</v>
      </c>
      <c r="E6" s="114">
        <f>C6-D6</f>
        <v>-0.459991455078125</v>
      </c>
      <c r="F6" s="839">
        <f>C6/$C$16</f>
        <v>0.6131689193943232</v>
      </c>
      <c r="G6" s="104" t="s">
        <v>1133</v>
      </c>
      <c r="H6" s="969" t="s">
        <v>1103</v>
      </c>
      <c r="I6" s="99" t="s">
        <v>1104</v>
      </c>
      <c r="J6" s="113">
        <f>+'2020년추가경정예산안지출(대전)'!C5</f>
        <v>78052200000.25</v>
      </c>
      <c r="K6" s="113">
        <f>+'2020년추가경정예산안지출(대전)'!D5</f>
        <v>75096000000</v>
      </c>
      <c r="L6" s="113">
        <f>J6-K6</f>
        <v>2956200000.25</v>
      </c>
      <c r="M6" s="839">
        <f aca="true" t="shared" si="0" ref="M6:M12">J6/$J$16</f>
        <v>0.22992475355530703</v>
      </c>
      <c r="N6" s="101" t="s">
        <v>1130</v>
      </c>
      <c r="O6" s="117"/>
      <c r="P6" s="92">
        <f>500000+3737000+9436000+1040000+2161000+426000+66161000+7915000</f>
        <v>91376000</v>
      </c>
      <c r="Q6" s="92">
        <v>91376000</v>
      </c>
      <c r="R6" s="92">
        <f>+Q6-P6</f>
        <v>0</v>
      </c>
    </row>
    <row r="7" spans="1:21" ht="152.25" customHeight="1">
      <c r="A7" s="967"/>
      <c r="B7" s="99" t="s">
        <v>1065</v>
      </c>
      <c r="C7" s="113">
        <f>+'2020년추경예산안수입(대전)'!C51</f>
        <v>3145000000</v>
      </c>
      <c r="D7" s="113">
        <f>+'2020년추경예산안수입(대전)'!D51</f>
        <v>2045000000</v>
      </c>
      <c r="E7" s="114">
        <f aca="true" t="shared" si="1" ref="E7:E15">C7-D7</f>
        <v>1100000000</v>
      </c>
      <c r="F7" s="839">
        <f>C7/$C$16</f>
        <v>0.009264483895766226</v>
      </c>
      <c r="G7" s="104" t="s">
        <v>1122</v>
      </c>
      <c r="H7" s="970"/>
      <c r="I7" s="99" t="s">
        <v>1105</v>
      </c>
      <c r="J7" s="113">
        <f>'2020년추가경정예산안지출(대전)'!C22</f>
        <v>91441000000</v>
      </c>
      <c r="K7" s="113">
        <f>'2020년추가경정예산안지출(대전)'!D22</f>
        <v>91376000000</v>
      </c>
      <c r="L7" s="113">
        <f aca="true" t="shared" si="2" ref="L7:L15">J7-K7</f>
        <v>65000000</v>
      </c>
      <c r="M7" s="839">
        <f t="shared" si="0"/>
        <v>0.26936523749213337</v>
      </c>
      <c r="N7" s="102" t="s">
        <v>1132</v>
      </c>
      <c r="O7" s="116">
        <f>32000000/204255024</f>
        <v>0.15666689305032713</v>
      </c>
      <c r="P7" s="116">
        <f>18401000/204255024</f>
        <v>0.09008835934434592</v>
      </c>
      <c r="Q7" s="116">
        <f>10000000/204255024</f>
        <v>0.04895840407822723</v>
      </c>
      <c r="S7" s="92">
        <f>32000000+18401000+10000000+1610000+2075000+2075000</f>
        <v>66161000</v>
      </c>
      <c r="T7" s="92">
        <v>66161000</v>
      </c>
      <c r="U7" s="92">
        <f>+T7-S7</f>
        <v>0</v>
      </c>
    </row>
    <row r="8" spans="1:16" ht="57" customHeight="1">
      <c r="A8" s="967"/>
      <c r="B8" s="99" t="s">
        <v>1106</v>
      </c>
      <c r="C8" s="113">
        <f>+'2020년추경예산안수입(대전)'!C64</f>
        <v>6572000000</v>
      </c>
      <c r="D8" s="113">
        <f>+'2020년추경예산안수입(대전)'!D64</f>
        <v>7972000000</v>
      </c>
      <c r="E8" s="114">
        <f t="shared" si="1"/>
        <v>-1400000000</v>
      </c>
      <c r="F8" s="839">
        <f>C8/$C$16</f>
        <v>0.019359678271216416</v>
      </c>
      <c r="G8" s="104" t="s">
        <v>1123</v>
      </c>
      <c r="H8" s="970"/>
      <c r="I8" s="99" t="s">
        <v>280</v>
      </c>
      <c r="J8" s="113">
        <f>'2020년추가경정예산안지출(대전)'!C118+'2020년추가경정예산안지출(대전)'!C122</f>
        <v>5219000000</v>
      </c>
      <c r="K8" s="113">
        <f>'2020년추가경정예산안지출(대전)'!D118+'2020년추가경정예산안지출(대전)'!D122</f>
        <v>4765000000</v>
      </c>
      <c r="L8" s="113">
        <f t="shared" si="2"/>
        <v>454000000</v>
      </c>
      <c r="M8" s="839">
        <f t="shared" si="0"/>
        <v>0.015374035437839087</v>
      </c>
      <c r="N8" s="103" t="s">
        <v>1125</v>
      </c>
      <c r="P8" s="127">
        <f>2864000+1700000</f>
        <v>4564000</v>
      </c>
    </row>
    <row r="9" spans="1:16" ht="34.5" customHeight="1">
      <c r="A9" s="967"/>
      <c r="B9" s="972" t="s">
        <v>1107</v>
      </c>
      <c r="C9" s="963">
        <f>+'2020년추경예산안수입(대전)'!C74</f>
        <v>152000000</v>
      </c>
      <c r="D9" s="963">
        <f>+'2020년추경예산안수입(대전)'!D74</f>
        <v>0</v>
      </c>
      <c r="E9" s="974">
        <f t="shared" si="1"/>
        <v>152000000</v>
      </c>
      <c r="F9" s="965">
        <f>C9/$C$16</f>
        <v>0.0004477588401133438</v>
      </c>
      <c r="G9" s="1041" t="s">
        <v>1067</v>
      </c>
      <c r="H9" s="970"/>
      <c r="I9" s="99" t="s">
        <v>1108</v>
      </c>
      <c r="J9" s="113">
        <f>'2020년추가경정예산안지출(대전)'!C129</f>
        <v>12210000000</v>
      </c>
      <c r="K9" s="113">
        <f>'2020년추가경정예산안지출(대전)'!D129</f>
        <v>12210000000</v>
      </c>
      <c r="L9" s="118">
        <f t="shared" si="2"/>
        <v>0</v>
      </c>
      <c r="M9" s="839">
        <f t="shared" si="0"/>
        <v>0.03596799630121005</v>
      </c>
      <c r="N9" s="104" t="s">
        <v>1131</v>
      </c>
      <c r="O9" s="92">
        <f>6300000+19750412+1034287+1000000+1301800+228000+1315310</f>
        <v>30929809</v>
      </c>
      <c r="P9" s="116"/>
    </row>
    <row r="10" spans="1:14" ht="34.5" customHeight="1">
      <c r="A10" s="967"/>
      <c r="B10" s="973"/>
      <c r="C10" s="964"/>
      <c r="D10" s="964"/>
      <c r="E10" s="975"/>
      <c r="F10" s="966"/>
      <c r="G10" s="1042"/>
      <c r="H10" s="970"/>
      <c r="I10" s="99" t="s">
        <v>766</v>
      </c>
      <c r="J10" s="113">
        <f>'2020년추가경정예산안지출(대전)'!C139</f>
        <v>5000000000</v>
      </c>
      <c r="K10" s="113">
        <v>5000000000</v>
      </c>
      <c r="L10" s="113">
        <f t="shared" si="2"/>
        <v>0</v>
      </c>
      <c r="M10" s="839">
        <f t="shared" si="0"/>
        <v>0.014728909214254729</v>
      </c>
      <c r="N10" s="104" t="s">
        <v>1033</v>
      </c>
    </row>
    <row r="11" spans="1:15" ht="34.5" customHeight="1">
      <c r="A11" s="967"/>
      <c r="B11" s="99" t="s">
        <v>284</v>
      </c>
      <c r="C11" s="113">
        <f>+'2020년추경예산안수입(대전)'!C86</f>
        <v>0</v>
      </c>
      <c r="D11" s="113">
        <f>+'2020년추경예산안수입(대전)'!D86</f>
        <v>0</v>
      </c>
      <c r="E11" s="114">
        <f t="shared" si="1"/>
        <v>0</v>
      </c>
      <c r="F11" s="839">
        <f>C11/$C$16</f>
        <v>0</v>
      </c>
      <c r="G11" s="104"/>
      <c r="H11" s="970"/>
      <c r="I11" s="99" t="s">
        <v>1023</v>
      </c>
      <c r="J11" s="113">
        <f>'2020년추가경정예산안지출(대전)'!C142</f>
        <v>67647000000</v>
      </c>
      <c r="K11" s="113">
        <f>'2020년추가경정예산안지출(대전)'!D142</f>
        <v>0</v>
      </c>
      <c r="L11" s="113">
        <f t="shared" si="2"/>
        <v>67647000000</v>
      </c>
      <c r="M11" s="839">
        <f t="shared" si="0"/>
        <v>0.19927330432333792</v>
      </c>
      <c r="N11" s="104"/>
      <c r="O11" s="94"/>
    </row>
    <row r="12" spans="1:16" ht="86.25" customHeight="1">
      <c r="A12" s="967"/>
      <c r="B12" s="99" t="s">
        <v>1032</v>
      </c>
      <c r="C12" s="113">
        <v>0</v>
      </c>
      <c r="D12" s="113">
        <v>0</v>
      </c>
      <c r="E12" s="114">
        <f t="shared" si="1"/>
        <v>0</v>
      </c>
      <c r="F12" s="839">
        <f>C12/$C$16</f>
        <v>0</v>
      </c>
      <c r="G12" s="105"/>
      <c r="H12" s="970"/>
      <c r="I12" s="961" t="s">
        <v>1025</v>
      </c>
      <c r="J12" s="963">
        <f>'2020년추가경정예산안지출(대전)'!C150</f>
        <v>16508000000</v>
      </c>
      <c r="K12" s="963">
        <f>'2020년추가경정예산안지출(대전)'!D150</f>
        <v>14001000000</v>
      </c>
      <c r="L12" s="963">
        <f t="shared" si="2"/>
        <v>2507000000</v>
      </c>
      <c r="M12" s="965">
        <f t="shared" si="0"/>
        <v>0.048628966661783415</v>
      </c>
      <c r="N12" s="957" t="s">
        <v>1126</v>
      </c>
      <c r="O12" s="92">
        <f>3580500+1476500+31000+5000000+400000+1500000+110191153+1500000+40000+200000+908318+1000</f>
        <v>124828471</v>
      </c>
      <c r="P12" s="526">
        <f>+O12-124828471</f>
        <v>0</v>
      </c>
    </row>
    <row r="13" spans="1:16" ht="34.5" customHeight="1">
      <c r="A13" s="967"/>
      <c r="B13" s="99" t="s">
        <v>446</v>
      </c>
      <c r="C13" s="113">
        <f>+'2020년추경예산안수입(대전)'!C96</f>
        <v>0</v>
      </c>
      <c r="D13" s="113">
        <v>0</v>
      </c>
      <c r="E13" s="114">
        <f t="shared" si="1"/>
        <v>0</v>
      </c>
      <c r="F13" s="839">
        <f>C13/$C$16</f>
        <v>0</v>
      </c>
      <c r="G13" s="105"/>
      <c r="H13" s="970"/>
      <c r="I13" s="962"/>
      <c r="J13" s="964"/>
      <c r="K13" s="964"/>
      <c r="L13" s="964">
        <f t="shared" si="2"/>
        <v>0</v>
      </c>
      <c r="M13" s="966"/>
      <c r="N13" s="958"/>
      <c r="P13" s="526"/>
    </row>
    <row r="14" spans="1:16" ht="34.5" customHeight="1">
      <c r="A14" s="967"/>
      <c r="B14" s="99" t="s">
        <v>1026</v>
      </c>
      <c r="C14" s="113">
        <v>0</v>
      </c>
      <c r="D14" s="113">
        <v>0</v>
      </c>
      <c r="E14" s="114">
        <f t="shared" si="1"/>
        <v>0</v>
      </c>
      <c r="F14" s="839">
        <f>C14/$C$16</f>
        <v>0</v>
      </c>
      <c r="G14" s="105"/>
      <c r="H14" s="970"/>
      <c r="I14" s="834" t="s">
        <v>1109</v>
      </c>
      <c r="J14" s="832">
        <f>'2020년추가경정예산안지출(대전)'!C187</f>
        <v>430000000</v>
      </c>
      <c r="K14" s="832">
        <f>'2020년추가경정예산안지출(대전)'!D187</f>
        <v>0</v>
      </c>
      <c r="L14" s="832">
        <f t="shared" si="2"/>
        <v>430000000</v>
      </c>
      <c r="M14" s="839">
        <f>J14/$J$16</f>
        <v>0.0012666861924259067</v>
      </c>
      <c r="N14" s="833" t="s">
        <v>1110</v>
      </c>
      <c r="P14" s="526"/>
    </row>
    <row r="15" spans="1:16" ht="34.5" customHeight="1">
      <c r="A15" s="967"/>
      <c r="B15" s="99" t="s">
        <v>1111</v>
      </c>
      <c r="C15" s="113">
        <f>+'[2]수입'!C105</f>
        <v>121447947840</v>
      </c>
      <c r="D15" s="113">
        <f>+'[2]수입'!D105</f>
        <v>87867496560</v>
      </c>
      <c r="E15" s="114">
        <f t="shared" si="1"/>
        <v>33580451280</v>
      </c>
      <c r="F15" s="839">
        <f>C15/$C$16</f>
        <v>0.35775915959858073</v>
      </c>
      <c r="G15" s="104" t="s">
        <v>1112</v>
      </c>
      <c r="H15" s="970"/>
      <c r="I15" s="99" t="s">
        <v>1113</v>
      </c>
      <c r="J15" s="113">
        <f>C16-J6-J7-J8-J9-J10-J11-J12-J14</f>
        <v>62961251279.29004</v>
      </c>
      <c r="K15" s="113">
        <f>D16-K6-K7-K8-K9-K10-K11-K12-K14</f>
        <v>103588000000</v>
      </c>
      <c r="L15" s="113">
        <f t="shared" si="2"/>
        <v>-40626748720.70996</v>
      </c>
      <c r="M15" s="839">
        <f>J15/$J$16</f>
        <v>0.18547011082170847</v>
      </c>
      <c r="N15" s="105" t="s">
        <v>1124</v>
      </c>
      <c r="O15" s="139"/>
      <c r="P15" s="526">
        <v>400000</v>
      </c>
    </row>
    <row r="16" spans="1:16" ht="29.25" customHeight="1">
      <c r="A16" s="968"/>
      <c r="B16" s="100" t="s">
        <v>1114</v>
      </c>
      <c r="C16" s="115">
        <f>SUM(C6:C15)</f>
        <v>339468451279.54004</v>
      </c>
      <c r="D16" s="115">
        <f>SUM(D6:D15)</f>
        <v>306036000000</v>
      </c>
      <c r="E16" s="115">
        <f>SUM(E6:E15)</f>
        <v>33432451279.54001</v>
      </c>
      <c r="F16" s="840">
        <v>1</v>
      </c>
      <c r="G16" s="93"/>
      <c r="H16" s="971"/>
      <c r="I16" s="100" t="s">
        <v>1114</v>
      </c>
      <c r="J16" s="115">
        <f>SUM(J6:J15)</f>
        <v>339468451279.54004</v>
      </c>
      <c r="K16" s="115">
        <f>SUM(K6:K15)</f>
        <v>306036000000</v>
      </c>
      <c r="L16" s="115">
        <f>J16-K16</f>
        <v>33432451279.54004</v>
      </c>
      <c r="M16" s="840">
        <f>SUM(M6:M15)</f>
        <v>1</v>
      </c>
      <c r="N16" s="93"/>
      <c r="P16" s="526">
        <v>400000</v>
      </c>
    </row>
    <row r="17" spans="5:16" ht="13.5">
      <c r="E17" s="94"/>
      <c r="P17" s="526">
        <v>250000</v>
      </c>
    </row>
    <row r="18" spans="6:18" ht="13.5">
      <c r="F18" s="95"/>
      <c r="J18" s="94"/>
      <c r="K18" s="94"/>
      <c r="O18" s="824"/>
      <c r="P18" s="526">
        <v>200000</v>
      </c>
      <c r="Q18" s="824"/>
      <c r="R18" s="526">
        <v>500000</v>
      </c>
    </row>
    <row r="19" spans="12:18" ht="13.5">
      <c r="L19" s="139"/>
      <c r="O19" s="824"/>
      <c r="P19" s="526">
        <v>200000</v>
      </c>
      <c r="Q19" s="824"/>
      <c r="R19" s="526">
        <v>400000</v>
      </c>
    </row>
    <row r="20" spans="15:18" ht="13.5">
      <c r="O20" s="824"/>
      <c r="P20" s="526">
        <v>250000</v>
      </c>
      <c r="Q20" s="824"/>
      <c r="R20" s="526">
        <v>400000</v>
      </c>
    </row>
    <row r="21" spans="15:18" ht="13.5">
      <c r="O21" s="824"/>
      <c r="P21" s="526">
        <v>300000</v>
      </c>
      <c r="Q21" s="824"/>
      <c r="R21" s="526">
        <v>250000</v>
      </c>
    </row>
    <row r="22" spans="15:18" ht="13.5">
      <c r="O22" s="824"/>
      <c r="P22" s="526">
        <v>6800000</v>
      </c>
      <c r="Q22" s="824"/>
      <c r="R22" s="526">
        <v>200000</v>
      </c>
    </row>
    <row r="23" spans="15:18" ht="13.5">
      <c r="O23" s="824"/>
      <c r="P23" s="526">
        <v>8100000</v>
      </c>
      <c r="Q23" s="824"/>
      <c r="R23" s="526">
        <v>200000</v>
      </c>
    </row>
    <row r="24" spans="15:18" ht="13.5">
      <c r="O24" s="824"/>
      <c r="P24" s="124">
        <v>982363161</v>
      </c>
      <c r="Q24" s="824"/>
      <c r="R24" s="526">
        <v>250000</v>
      </c>
    </row>
    <row r="25" spans="15:18" ht="13.5">
      <c r="O25" s="570"/>
      <c r="P25" s="124">
        <f>963550200+639</f>
        <v>963550839</v>
      </c>
      <c r="Q25" s="824"/>
      <c r="R25" s="526">
        <v>300000</v>
      </c>
    </row>
    <row r="26" spans="15:18" ht="13.5">
      <c r="O26" s="824"/>
      <c r="P26" s="824"/>
      <c r="Q26" s="824"/>
      <c r="R26" s="526">
        <v>6800000</v>
      </c>
    </row>
    <row r="27" spans="15:18" ht="13.5">
      <c r="O27" s="824"/>
      <c r="P27" s="824"/>
      <c r="Q27" s="824"/>
      <c r="R27" s="526">
        <v>8100000</v>
      </c>
    </row>
  </sheetData>
  <sheetProtection/>
  <mergeCells count="27">
    <mergeCell ref="A2:N2"/>
    <mergeCell ref="A4:B5"/>
    <mergeCell ref="C4:C5"/>
    <mergeCell ref="D4:D5"/>
    <mergeCell ref="E4:E5"/>
    <mergeCell ref="F4:F5"/>
    <mergeCell ref="G4:G5"/>
    <mergeCell ref="H4:I5"/>
    <mergeCell ref="J4:J5"/>
    <mergeCell ref="K4:K5"/>
    <mergeCell ref="L4:L5"/>
    <mergeCell ref="M4:M5"/>
    <mergeCell ref="N4:N5"/>
    <mergeCell ref="A6:A16"/>
    <mergeCell ref="H6:H16"/>
    <mergeCell ref="B9:B10"/>
    <mergeCell ref="C9:C10"/>
    <mergeCell ref="D9:D10"/>
    <mergeCell ref="E9:E10"/>
    <mergeCell ref="F9:F10"/>
    <mergeCell ref="N12:N13"/>
    <mergeCell ref="G9:G10"/>
    <mergeCell ref="I12:I13"/>
    <mergeCell ref="J12:J13"/>
    <mergeCell ref="K12:K13"/>
    <mergeCell ref="L12:L13"/>
    <mergeCell ref="M12:M13"/>
  </mergeCells>
  <printOptions horizontalCentered="1"/>
  <pageMargins left="0.35433070866141736" right="0.15748031496062992" top="0.5905511811023623" bottom="0.1968503937007874" header="0.5118110236220472" footer="0.5118110236220472"/>
  <pageSetup fitToHeight="1" fitToWidth="1" horizontalDpi="600" verticalDpi="6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4"/>
  <sheetViews>
    <sheetView showGridLines="0" zoomScale="85" zoomScaleNormal="85" zoomScalePageLayoutView="0" workbookViewId="0" topLeftCell="A1">
      <selection activeCell="A3" sqref="A3:A4"/>
    </sheetView>
  </sheetViews>
  <sheetFormatPr defaultColWidth="8.88671875" defaultRowHeight="13.5"/>
  <cols>
    <col min="1" max="1" width="17.99609375" style="5" customWidth="1"/>
    <col min="2" max="2" width="17.6640625" style="5" customWidth="1"/>
    <col min="3" max="3" width="18.88671875" style="90" customWidth="1"/>
    <col min="4" max="5" width="18.3359375" style="90" bestFit="1" customWidth="1"/>
    <col min="6" max="6" width="13.10546875" style="5" customWidth="1"/>
    <col min="7" max="7" width="10.88671875" style="5" customWidth="1"/>
    <col min="8" max="8" width="7.77734375" style="5" customWidth="1"/>
    <col min="9" max="9" width="11.88671875" style="5" customWidth="1"/>
    <col min="10" max="10" width="14.21484375" style="5" hidden="1" customWidth="1"/>
    <col min="11" max="11" width="12.77734375" style="5" hidden="1" customWidth="1"/>
    <col min="12" max="12" width="12.99609375" style="6" hidden="1" customWidth="1"/>
    <col min="13" max="14" width="17.99609375" style="6" hidden="1" customWidth="1"/>
    <col min="15" max="15" width="7.77734375" style="6" hidden="1" customWidth="1"/>
    <col min="16" max="16" width="16.5546875" style="6" hidden="1" customWidth="1"/>
    <col min="17" max="17" width="15.3359375" style="5" hidden="1" customWidth="1"/>
    <col min="18" max="18" width="15.6640625" style="8" hidden="1" customWidth="1"/>
    <col min="19" max="19" width="18.5546875" style="5" hidden="1" customWidth="1"/>
    <col min="20" max="20" width="10.21484375" style="6" hidden="1" customWidth="1"/>
    <col min="21" max="21" width="18.88671875" style="5" customWidth="1"/>
    <col min="22" max="22" width="15.21484375" style="5" bestFit="1" customWidth="1"/>
    <col min="23" max="23" width="11.77734375" style="5" hidden="1" customWidth="1"/>
    <col min="24" max="29" width="0" style="5" hidden="1" customWidth="1"/>
    <col min="30" max="31" width="8.88671875" style="5" customWidth="1"/>
    <col min="32" max="32" width="15.21484375" style="5" bestFit="1" customWidth="1"/>
    <col min="33" max="35" width="8.88671875" style="5" customWidth="1"/>
    <col min="36" max="36" width="16.3359375" style="90" bestFit="1" customWidth="1"/>
    <col min="37" max="16384" width="8.88671875" style="5" customWidth="1"/>
  </cols>
  <sheetData>
    <row r="1" spans="1:18" ht="29.25" customHeight="1">
      <c r="A1" s="1010" t="s">
        <v>817</v>
      </c>
      <c r="B1" s="1010"/>
      <c r="C1" s="1010"/>
      <c r="D1" s="1010"/>
      <c r="E1" s="1010"/>
      <c r="F1" s="1010"/>
      <c r="G1" s="1010"/>
      <c r="H1" s="1010"/>
      <c r="I1" s="1010"/>
      <c r="J1" s="1"/>
      <c r="K1" s="2"/>
      <c r="L1" s="3"/>
      <c r="M1" s="3"/>
      <c r="N1" s="3"/>
      <c r="O1" s="3"/>
      <c r="P1" s="3"/>
      <c r="Q1" s="2"/>
      <c r="R1" s="4"/>
    </row>
    <row r="2" spans="1:10" ht="16.5" customHeight="1">
      <c r="A2" s="1011" t="s">
        <v>585</v>
      </c>
      <c r="B2" s="1011"/>
      <c r="C2" s="1011"/>
      <c r="D2" s="1011"/>
      <c r="E2" s="1011"/>
      <c r="F2" s="1011"/>
      <c r="G2" s="1011"/>
      <c r="H2" s="1011"/>
      <c r="I2" s="1011"/>
      <c r="J2" s="7"/>
    </row>
    <row r="3" spans="1:5" ht="19.5" customHeight="1">
      <c r="A3" s="9" t="s">
        <v>578</v>
      </c>
      <c r="B3" s="10"/>
      <c r="C3" s="119"/>
      <c r="D3" s="119"/>
      <c r="E3" s="119"/>
    </row>
    <row r="4" spans="1:16" ht="19.5" customHeight="1">
      <c r="A4" s="11" t="s">
        <v>0</v>
      </c>
      <c r="B4" s="10"/>
      <c r="C4" s="119"/>
      <c r="D4" s="119"/>
      <c r="E4" s="119"/>
      <c r="I4" s="12" t="s">
        <v>1117</v>
      </c>
      <c r="J4" s="12"/>
      <c r="P4" s="13"/>
    </row>
    <row r="5" spans="1:36" s="17" customFormat="1" ht="15.75" customHeight="1">
      <c r="A5" s="14" t="s">
        <v>295</v>
      </c>
      <c r="B5" s="15" t="s">
        <v>296</v>
      </c>
      <c r="C5" s="1012" t="s">
        <v>297</v>
      </c>
      <c r="D5" s="1012" t="s">
        <v>298</v>
      </c>
      <c r="E5" s="1012" t="s">
        <v>299</v>
      </c>
      <c r="F5" s="1014" t="s">
        <v>1</v>
      </c>
      <c r="G5" s="1014"/>
      <c r="H5" s="1014"/>
      <c r="I5" s="1015"/>
      <c r="J5" s="16"/>
      <c r="L5" s="18"/>
      <c r="M5" s="18"/>
      <c r="N5" s="18"/>
      <c r="O5" s="18"/>
      <c r="P5" s="18"/>
      <c r="R5" s="19"/>
      <c r="T5" s="18"/>
      <c r="AJ5" s="91"/>
    </row>
    <row r="6" spans="1:36" s="17" customFormat="1" ht="15.75" customHeight="1">
      <c r="A6" s="20" t="s">
        <v>2</v>
      </c>
      <c r="B6" s="21" t="s">
        <v>3</v>
      </c>
      <c r="C6" s="1013"/>
      <c r="D6" s="1013"/>
      <c r="E6" s="1013"/>
      <c r="F6" s="1016"/>
      <c r="G6" s="1016"/>
      <c r="H6" s="1016"/>
      <c r="I6" s="1017"/>
      <c r="J6" s="16"/>
      <c r="L6" s="18"/>
      <c r="M6" s="18"/>
      <c r="N6" s="18"/>
      <c r="O6" s="18"/>
      <c r="P6" s="18"/>
      <c r="R6" s="19"/>
      <c r="T6" s="18"/>
      <c r="AJ6" s="91"/>
    </row>
    <row r="7" spans="1:36" s="17" customFormat="1" ht="15.75" customHeight="1" thickBot="1">
      <c r="A7" s="22" t="s">
        <v>4</v>
      </c>
      <c r="B7" s="23"/>
      <c r="C7" s="895">
        <f>SUM(C8+C27+C46)</f>
        <v>208151503439.54</v>
      </c>
      <c r="D7" s="895">
        <f>SUM(D8+D27+D46)</f>
        <v>208151503440</v>
      </c>
      <c r="E7" s="895">
        <v>0</v>
      </c>
      <c r="F7" s="24"/>
      <c r="G7" s="25"/>
      <c r="H7" s="25"/>
      <c r="I7" s="26"/>
      <c r="J7" s="27"/>
      <c r="L7" s="18"/>
      <c r="M7" s="18"/>
      <c r="N7" s="18"/>
      <c r="O7" s="18"/>
      <c r="P7" s="18"/>
      <c r="Q7" s="18"/>
      <c r="R7" s="19"/>
      <c r="T7" s="18"/>
      <c r="U7" s="28"/>
      <c r="AE7" s="17" t="s">
        <v>389</v>
      </c>
      <c r="AI7" s="17" t="s">
        <v>392</v>
      </c>
      <c r="AJ7" s="91"/>
    </row>
    <row r="8" spans="1:36" s="17" customFormat="1" ht="15.75" customHeight="1" thickTop="1">
      <c r="A8" s="29" t="s">
        <v>5</v>
      </c>
      <c r="B8" s="30"/>
      <c r="C8" s="896">
        <f>SUM(C9:C26)</f>
        <v>128333503439.54001</v>
      </c>
      <c r="D8" s="896">
        <f>SUM(D9:D26)</f>
        <v>128333503440</v>
      </c>
      <c r="E8" s="896">
        <v>0</v>
      </c>
      <c r="F8" s="31"/>
      <c r="G8" s="32"/>
      <c r="H8" s="32"/>
      <c r="I8" s="33"/>
      <c r="J8" s="27"/>
      <c r="L8" s="34"/>
      <c r="M8" s="35" t="s">
        <v>6</v>
      </c>
      <c r="N8" s="36"/>
      <c r="Q8" s="19" t="s">
        <v>7</v>
      </c>
      <c r="S8" s="18" t="s">
        <v>8</v>
      </c>
      <c r="AE8" s="257" t="s">
        <v>356</v>
      </c>
      <c r="AF8" s="258">
        <v>23371274187.42357</v>
      </c>
      <c r="AG8" s="125">
        <f>+AF8/$AF$38</f>
        <v>0.36550959909100383</v>
      </c>
      <c r="AI8" s="17" t="s">
        <v>390</v>
      </c>
      <c r="AJ8" s="91" t="s">
        <v>391</v>
      </c>
    </row>
    <row r="9" spans="1:37" s="17" customFormat="1" ht="15.75" customHeight="1">
      <c r="A9" s="37"/>
      <c r="B9" s="38" t="s">
        <v>9</v>
      </c>
      <c r="C9" s="897">
        <f>+I26</f>
        <v>128333503439.54001</v>
      </c>
      <c r="D9" s="897">
        <v>128333503440</v>
      </c>
      <c r="E9" s="897">
        <v>0</v>
      </c>
      <c r="F9" s="39" t="s">
        <v>10</v>
      </c>
      <c r="G9" s="106">
        <f>I9/H9</f>
        <v>2683383144.794534</v>
      </c>
      <c r="H9" s="40">
        <v>12</v>
      </c>
      <c r="I9" s="107">
        <v>32200597737.53441</v>
      </c>
      <c r="J9" s="41">
        <v>27472107507.04499</v>
      </c>
      <c r="K9" s="42">
        <f>SUM(M9/M26)</f>
        <v>0.2690051039791396</v>
      </c>
      <c r="L9" s="43" t="s">
        <v>10</v>
      </c>
      <c r="M9" s="44">
        <v>20817143505</v>
      </c>
      <c r="N9" s="13"/>
      <c r="O9" s="18"/>
      <c r="P9" s="17" t="s">
        <v>11</v>
      </c>
      <c r="Q9" s="19"/>
      <c r="R9" s="17" t="s">
        <v>12</v>
      </c>
      <c r="S9" s="18">
        <v>316000</v>
      </c>
      <c r="U9" s="125">
        <v>0.3655</v>
      </c>
      <c r="V9" s="17">
        <f>$C$9*U9</f>
        <v>46905895507.15187</v>
      </c>
      <c r="AE9" s="259" t="s">
        <v>357</v>
      </c>
      <c r="AF9" s="260">
        <v>3656660475.2829843</v>
      </c>
      <c r="AG9" s="125">
        <f aca="true" t="shared" si="0" ref="AG9:AG37">+AF9/$AF$38</f>
        <v>0.057187489805404695</v>
      </c>
      <c r="AI9" s="17" t="s">
        <v>356</v>
      </c>
      <c r="AJ9" s="91">
        <v>31624339058</v>
      </c>
      <c r="AK9" s="125">
        <f>+AJ9/$AJ$39</f>
        <v>0.24955570913778707</v>
      </c>
    </row>
    <row r="10" spans="1:37" s="17" customFormat="1" ht="15.75" customHeight="1">
      <c r="A10" s="45"/>
      <c r="B10" s="46"/>
      <c r="C10" s="898"/>
      <c r="D10" s="898"/>
      <c r="E10" s="901"/>
      <c r="F10" s="47" t="s">
        <v>13</v>
      </c>
      <c r="G10" s="108">
        <f aca="true" t="shared" si="1" ref="G10:G25">I10/H10</f>
        <v>1298933257.450007</v>
      </c>
      <c r="H10" s="48">
        <v>12</v>
      </c>
      <c r="I10" s="109">
        <v>15587199089.400084</v>
      </c>
      <c r="J10" s="41">
        <v>9809429424.731613</v>
      </c>
      <c r="K10" s="42">
        <f>SUM(M10/M26)</f>
        <v>0.09605329994064943</v>
      </c>
      <c r="L10" s="43" t="s">
        <v>13</v>
      </c>
      <c r="M10" s="44">
        <v>7433150150</v>
      </c>
      <c r="N10" s="13"/>
      <c r="O10" s="49">
        <v>0.10801297995933146</v>
      </c>
      <c r="P10" s="17" t="s">
        <v>14</v>
      </c>
      <c r="Q10" s="19"/>
      <c r="R10" s="17" t="s">
        <v>14</v>
      </c>
      <c r="S10" s="18">
        <v>427656747</v>
      </c>
      <c r="U10" s="125">
        <v>0.0503</v>
      </c>
      <c r="V10" s="17">
        <f aca="true" t="shared" si="2" ref="V10:V25">$C$9*U10</f>
        <v>6455175223.0088625</v>
      </c>
      <c r="AE10" s="259" t="s">
        <v>358</v>
      </c>
      <c r="AF10" s="260">
        <v>1817933285.7458098</v>
      </c>
      <c r="AG10" s="125">
        <f t="shared" si="0"/>
        <v>0.02843114419515495</v>
      </c>
      <c r="AI10" s="17" t="s">
        <v>357</v>
      </c>
      <c r="AJ10" s="91">
        <v>4109930320</v>
      </c>
      <c r="AK10" s="125">
        <f aca="true" t="shared" si="3" ref="AK10:AK38">+AJ10/$AJ$39</f>
        <v>0.032432506293124636</v>
      </c>
    </row>
    <row r="11" spans="1:37" s="17" customFormat="1" ht="15.75" customHeight="1">
      <c r="A11" s="45"/>
      <c r="B11" s="46"/>
      <c r="C11" s="898"/>
      <c r="D11" s="898"/>
      <c r="E11" s="901"/>
      <c r="F11" s="47" t="s">
        <v>15</v>
      </c>
      <c r="G11" s="108">
        <f t="shared" si="1"/>
        <v>1356478805.6621788</v>
      </c>
      <c r="H11" s="48">
        <v>12</v>
      </c>
      <c r="I11" s="109">
        <v>16277745667.946144</v>
      </c>
      <c r="J11" s="41">
        <v>13544962769.66887</v>
      </c>
      <c r="K11" s="42">
        <f>SUM(M11/M26)</f>
        <v>0.1326314014064615</v>
      </c>
      <c r="L11" s="43" t="s">
        <v>15</v>
      </c>
      <c r="M11" s="44">
        <v>10263771488</v>
      </c>
      <c r="N11" s="13"/>
      <c r="O11" s="49">
        <v>0.15214469457596597</v>
      </c>
      <c r="P11" s="17" t="s">
        <v>16</v>
      </c>
      <c r="Q11" s="19">
        <v>4511179</v>
      </c>
      <c r="R11" s="17" t="s">
        <v>14</v>
      </c>
      <c r="S11" s="18">
        <v>27331038</v>
      </c>
      <c r="U11" s="125">
        <v>0.0348</v>
      </c>
      <c r="V11" s="17">
        <f t="shared" si="2"/>
        <v>4466005919.6959915</v>
      </c>
      <c r="AE11" s="259" t="s">
        <v>359</v>
      </c>
      <c r="AF11" s="260">
        <v>3213443701.717514</v>
      </c>
      <c r="AG11" s="125">
        <f t="shared" si="0"/>
        <v>0.050255904307875514</v>
      </c>
      <c r="AI11" s="17" t="s">
        <v>358</v>
      </c>
      <c r="AJ11" s="91">
        <v>1031666985</v>
      </c>
      <c r="AK11" s="125">
        <f t="shared" si="3"/>
        <v>0.008141146778230883</v>
      </c>
    </row>
    <row r="12" spans="1:37" s="17" customFormat="1" ht="15.75" customHeight="1">
      <c r="A12" s="45"/>
      <c r="B12" s="46"/>
      <c r="C12" s="898"/>
      <c r="D12" s="898"/>
      <c r="E12" s="901"/>
      <c r="F12" s="47" t="s">
        <v>17</v>
      </c>
      <c r="G12" s="108">
        <f t="shared" si="1"/>
        <v>1181947517.9193752</v>
      </c>
      <c r="H12" s="48">
        <v>12</v>
      </c>
      <c r="I12" s="109">
        <v>14183370215.032503</v>
      </c>
      <c r="J12" s="41">
        <v>10682247995.412922</v>
      </c>
      <c r="K12" s="42">
        <f>SUM(M12/M26)</f>
        <v>0.10459988306321616</v>
      </c>
      <c r="L12" s="43" t="s">
        <v>17</v>
      </c>
      <c r="M12" s="44">
        <v>8094533316</v>
      </c>
      <c r="N12" s="13"/>
      <c r="O12" s="49">
        <v>0.11527080749927986</v>
      </c>
      <c r="P12" s="17" t="s">
        <v>18</v>
      </c>
      <c r="Q12" s="19"/>
      <c r="R12" s="17" t="s">
        <v>19</v>
      </c>
      <c r="S12" s="18">
        <v>5339243</v>
      </c>
      <c r="U12" s="125">
        <v>0.015</v>
      </c>
      <c r="V12" s="17">
        <f t="shared" si="2"/>
        <v>1925002551.5931</v>
      </c>
      <c r="AE12" s="259" t="s">
        <v>360</v>
      </c>
      <c r="AF12" s="260">
        <v>2223306732.917108</v>
      </c>
      <c r="AG12" s="125">
        <f t="shared" si="0"/>
        <v>0.034770887803890274</v>
      </c>
      <c r="AI12" s="17" t="s">
        <v>359</v>
      </c>
      <c r="AJ12" s="91">
        <v>15275989910</v>
      </c>
      <c r="AK12" s="125">
        <f t="shared" si="3"/>
        <v>0.12054672471668167</v>
      </c>
    </row>
    <row r="13" spans="1:37" s="17" customFormat="1" ht="15.75" customHeight="1">
      <c r="A13" s="45"/>
      <c r="B13" s="46" t="s">
        <v>20</v>
      </c>
      <c r="C13" s="898"/>
      <c r="D13" s="898"/>
      <c r="E13" s="901" t="s">
        <v>20</v>
      </c>
      <c r="F13" s="47" t="s">
        <v>21</v>
      </c>
      <c r="G13" s="108">
        <f t="shared" si="1"/>
        <v>784467854.8118261</v>
      </c>
      <c r="H13" s="48">
        <v>12</v>
      </c>
      <c r="I13" s="109">
        <v>9413614257.741913</v>
      </c>
      <c r="J13" s="41">
        <v>6285863457.500749</v>
      </c>
      <c r="K13" s="42">
        <f>SUM(M13/M26)</f>
        <v>0.061550769359432586</v>
      </c>
      <c r="L13" s="43" t="s">
        <v>21</v>
      </c>
      <c r="M13" s="44">
        <v>4763148281</v>
      </c>
      <c r="N13" s="13"/>
      <c r="O13" s="49">
        <v>0.05521563196005794</v>
      </c>
      <c r="P13" s="17" t="s">
        <v>22</v>
      </c>
      <c r="Q13" s="19"/>
      <c r="R13" s="17" t="s">
        <v>23</v>
      </c>
      <c r="S13" s="18">
        <v>368295824</v>
      </c>
      <c r="U13" s="125">
        <v>0.0105</v>
      </c>
      <c r="V13" s="17">
        <f t="shared" si="2"/>
        <v>1347501786.1151702</v>
      </c>
      <c r="AE13" s="259" t="s">
        <v>361</v>
      </c>
      <c r="AF13" s="260">
        <v>957854543.0931329</v>
      </c>
      <c r="AG13" s="125">
        <f t="shared" si="0"/>
        <v>0.014980143026256755</v>
      </c>
      <c r="AI13" s="17" t="s">
        <v>360</v>
      </c>
      <c r="AJ13" s="91">
        <v>16086512713</v>
      </c>
      <c r="AK13" s="125">
        <f t="shared" si="3"/>
        <v>0.12694276646490735</v>
      </c>
    </row>
    <row r="14" spans="1:37" s="17" customFormat="1" ht="15.75" customHeight="1">
      <c r="A14" s="45"/>
      <c r="B14" s="46"/>
      <c r="C14" s="898"/>
      <c r="D14" s="898"/>
      <c r="E14" s="901"/>
      <c r="F14" s="47" t="s">
        <v>24</v>
      </c>
      <c r="G14" s="108">
        <f t="shared" si="1"/>
        <v>117649405.14724956</v>
      </c>
      <c r="H14" s="48">
        <v>12</v>
      </c>
      <c r="I14" s="109">
        <v>1411792861.7669947</v>
      </c>
      <c r="J14" s="41">
        <v>965285902.2780033</v>
      </c>
      <c r="K14" s="42">
        <f>SUM(M14/M26)</f>
        <v>0.009452017266796968</v>
      </c>
      <c r="L14" s="43" t="s">
        <v>24</v>
      </c>
      <c r="M14" s="44">
        <v>731450805</v>
      </c>
      <c r="N14" s="13"/>
      <c r="O14" s="49">
        <v>0.008839290987217635</v>
      </c>
      <c r="P14" s="17" t="s">
        <v>25</v>
      </c>
      <c r="Q14" s="19"/>
      <c r="R14" s="17" t="s">
        <v>22</v>
      </c>
      <c r="S14" s="18"/>
      <c r="U14" s="125">
        <v>0.0076</v>
      </c>
      <c r="V14" s="17">
        <f t="shared" si="2"/>
        <v>975334626.1405041</v>
      </c>
      <c r="AE14" s="259" t="s">
        <v>362</v>
      </c>
      <c r="AF14" s="260">
        <v>671360689.766691</v>
      </c>
      <c r="AG14" s="125">
        <f t="shared" si="0"/>
        <v>0.010499589136399349</v>
      </c>
      <c r="AI14" s="17" t="s">
        <v>361</v>
      </c>
      <c r="AJ14" s="91">
        <v>13953406852</v>
      </c>
      <c r="AK14" s="125">
        <f t="shared" si="3"/>
        <v>0.11010988515688956</v>
      </c>
    </row>
    <row r="15" spans="1:37" s="17" customFormat="1" ht="15.75" customHeight="1">
      <c r="A15" s="45"/>
      <c r="B15" s="46"/>
      <c r="C15" s="898"/>
      <c r="D15" s="898"/>
      <c r="E15" s="901"/>
      <c r="F15" s="47" t="s">
        <v>26</v>
      </c>
      <c r="G15" s="108">
        <f t="shared" si="1"/>
        <v>424691860.80365497</v>
      </c>
      <c r="H15" s="48">
        <v>12</v>
      </c>
      <c r="I15" s="109">
        <v>5096302329.64386</v>
      </c>
      <c r="J15" s="41">
        <v>4384588047.17678</v>
      </c>
      <c r="K15" s="42">
        <f>SUM(M15/M26)</f>
        <v>0.042933603227710705</v>
      </c>
      <c r="L15" s="43" t="s">
        <v>26</v>
      </c>
      <c r="M15" s="44">
        <v>3322446178</v>
      </c>
      <c r="N15" s="13"/>
      <c r="O15" s="49">
        <v>0.05838079416151145</v>
      </c>
      <c r="P15" s="17" t="s">
        <v>27</v>
      </c>
      <c r="Q15" s="19"/>
      <c r="R15" s="17" t="s">
        <v>25</v>
      </c>
      <c r="S15" s="18"/>
      <c r="U15" s="125">
        <v>0.0346</v>
      </c>
      <c r="V15" s="17">
        <f t="shared" si="2"/>
        <v>4440339219.008084</v>
      </c>
      <c r="AE15" s="259" t="s">
        <v>363</v>
      </c>
      <c r="AF15" s="260">
        <v>487778572.0358834</v>
      </c>
      <c r="AG15" s="125">
        <f t="shared" si="0"/>
        <v>0.0076284993655141575</v>
      </c>
      <c r="AI15" s="17" t="s">
        <v>362</v>
      </c>
      <c r="AJ15" s="91">
        <v>9529684848</v>
      </c>
      <c r="AK15" s="125">
        <f t="shared" si="3"/>
        <v>0.07520116881306506</v>
      </c>
    </row>
    <row r="16" spans="1:37" s="17" customFormat="1" ht="15.75" customHeight="1">
      <c r="A16" s="45"/>
      <c r="B16" s="46"/>
      <c r="C16" s="898"/>
      <c r="D16" s="898"/>
      <c r="E16" s="901"/>
      <c r="F16" s="47" t="s">
        <v>387</v>
      </c>
      <c r="G16" s="108">
        <f t="shared" si="1"/>
        <v>837826364.3086787</v>
      </c>
      <c r="H16" s="48">
        <v>12</v>
      </c>
      <c r="I16" s="109">
        <v>10053916371.704145</v>
      </c>
      <c r="J16" s="41">
        <v>5907008937.292468</v>
      </c>
      <c r="K16" s="42">
        <f>SUM(M16/M26)</f>
        <v>0.05784105034441124</v>
      </c>
      <c r="L16" s="43" t="s">
        <v>28</v>
      </c>
      <c r="M16" s="44">
        <v>4476069144</v>
      </c>
      <c r="N16" s="13"/>
      <c r="O16" s="49">
        <v>0.061774094689323225</v>
      </c>
      <c r="P16" s="17" t="s">
        <v>29</v>
      </c>
      <c r="Q16" s="19"/>
      <c r="R16" s="17" t="s">
        <v>27</v>
      </c>
      <c r="S16" s="18"/>
      <c r="U16" s="125">
        <v>0.055</v>
      </c>
      <c r="V16" s="17">
        <f t="shared" si="2"/>
        <v>7058342689.174701</v>
      </c>
      <c r="AE16" s="259" t="s">
        <v>364</v>
      </c>
      <c r="AF16" s="260">
        <v>2215290168.468532</v>
      </c>
      <c r="AG16" s="125">
        <f t="shared" si="0"/>
        <v>0.03464551461138959</v>
      </c>
      <c r="AI16" s="17" t="s">
        <v>363</v>
      </c>
      <c r="AJ16" s="91">
        <v>1537932671</v>
      </c>
      <c r="AK16" s="125">
        <f t="shared" si="3"/>
        <v>0.012136218170873875</v>
      </c>
    </row>
    <row r="17" spans="1:37" s="17" customFormat="1" ht="15.75" customHeight="1">
      <c r="A17" s="45"/>
      <c r="B17" s="46"/>
      <c r="C17" s="898"/>
      <c r="D17" s="898"/>
      <c r="E17" s="901"/>
      <c r="F17" s="47" t="s">
        <v>30</v>
      </c>
      <c r="G17" s="108">
        <f t="shared" si="1"/>
        <v>86784060.57333891</v>
      </c>
      <c r="H17" s="48">
        <v>12</v>
      </c>
      <c r="I17" s="109">
        <v>1041408726.8800669</v>
      </c>
      <c r="J17" s="41">
        <v>1324032687.41277</v>
      </c>
      <c r="K17" s="42">
        <f>SUM(M17/M26)</f>
        <v>0.012964842637497491</v>
      </c>
      <c r="L17" s="43" t="s">
        <v>30</v>
      </c>
      <c r="M17" s="44">
        <v>1003293193</v>
      </c>
      <c r="N17" s="13"/>
      <c r="O17" s="49">
        <v>0.016380702408584406</v>
      </c>
      <c r="P17" s="17" t="s">
        <v>31</v>
      </c>
      <c r="Q17" s="19"/>
      <c r="R17" s="17" t="s">
        <v>29</v>
      </c>
      <c r="S17" s="18"/>
      <c r="U17" s="125">
        <v>0.0284</v>
      </c>
      <c r="V17" s="17">
        <f t="shared" si="2"/>
        <v>3644671497.6829367</v>
      </c>
      <c r="AE17" s="259" t="s">
        <v>385</v>
      </c>
      <c r="AF17" s="260">
        <v>813069275.6747783</v>
      </c>
      <c r="AG17" s="125">
        <f t="shared" si="0"/>
        <v>0.0127158075593936</v>
      </c>
      <c r="AI17" s="17" t="s">
        <v>364</v>
      </c>
      <c r="AJ17" s="91">
        <v>4987629566</v>
      </c>
      <c r="AK17" s="125">
        <f t="shared" si="3"/>
        <v>0.039358654452095305</v>
      </c>
    </row>
    <row r="18" spans="1:37" s="17" customFormat="1" ht="15.75" customHeight="1">
      <c r="A18" s="45"/>
      <c r="B18" s="46"/>
      <c r="C18" s="898"/>
      <c r="D18" s="898"/>
      <c r="E18" s="901"/>
      <c r="F18" s="47" t="s">
        <v>388</v>
      </c>
      <c r="G18" s="108">
        <f t="shared" si="1"/>
        <v>224079532.15342402</v>
      </c>
      <c r="H18" s="48">
        <v>12</v>
      </c>
      <c r="I18" s="109">
        <v>2688954385.8410883</v>
      </c>
      <c r="J18" s="41">
        <v>1491070912.9273252</v>
      </c>
      <c r="K18" s="42">
        <f>SUM(M18/M26)</f>
        <v>0.014600470163034474</v>
      </c>
      <c r="L18" s="43" t="s">
        <v>32</v>
      </c>
      <c r="M18" s="44">
        <v>1129867345</v>
      </c>
      <c r="N18" s="13"/>
      <c r="O18" s="49">
        <v>0.018369856525966642</v>
      </c>
      <c r="P18" s="17" t="s">
        <v>33</v>
      </c>
      <c r="Q18" s="19"/>
      <c r="R18" s="17" t="s">
        <v>31</v>
      </c>
      <c r="S18" s="18"/>
      <c r="U18" s="125">
        <v>0.0397</v>
      </c>
      <c r="V18" s="17">
        <f t="shared" si="2"/>
        <v>5094840086.549738</v>
      </c>
      <c r="AE18" s="259" t="s">
        <v>365</v>
      </c>
      <c r="AF18" s="260">
        <v>1425162789.8192716</v>
      </c>
      <c r="AG18" s="125">
        <f t="shared" si="0"/>
        <v>0.022288501506972536</v>
      </c>
      <c r="AI18" s="17" t="s">
        <v>385</v>
      </c>
      <c r="AJ18" s="91">
        <v>266270055</v>
      </c>
      <c r="AK18" s="125">
        <f t="shared" si="3"/>
        <v>0.002101204780147743</v>
      </c>
    </row>
    <row r="19" spans="1:37" s="17" customFormat="1" ht="15.75" customHeight="1">
      <c r="A19" s="45"/>
      <c r="B19" s="46"/>
      <c r="C19" s="898"/>
      <c r="D19" s="898"/>
      <c r="E19" s="901"/>
      <c r="F19" s="47" t="s">
        <v>34</v>
      </c>
      <c r="G19" s="108">
        <f t="shared" si="1"/>
        <v>23597209.309080914</v>
      </c>
      <c r="H19" s="48">
        <v>12</v>
      </c>
      <c r="I19" s="109">
        <v>283166511.70897096</v>
      </c>
      <c r="J19" s="41">
        <v>390210886.18995166</v>
      </c>
      <c r="K19" s="42">
        <f>SUM(M19/M26)</f>
        <v>0.0038209198179062825</v>
      </c>
      <c r="L19" s="43" t="s">
        <v>34</v>
      </c>
      <c r="M19" s="44">
        <v>295684487</v>
      </c>
      <c r="N19" s="13"/>
      <c r="O19" s="49">
        <v>0.002157796033396506</v>
      </c>
      <c r="P19" s="17" t="s">
        <v>35</v>
      </c>
      <c r="Q19" s="19"/>
      <c r="R19" s="17" t="s">
        <v>33</v>
      </c>
      <c r="S19" s="18"/>
      <c r="U19" s="125">
        <v>0.0127</v>
      </c>
      <c r="V19" s="17">
        <f t="shared" si="2"/>
        <v>1629835493.682158</v>
      </c>
      <c r="AE19" s="259" t="s">
        <v>366</v>
      </c>
      <c r="AF19" s="260">
        <v>1202292384.9738796</v>
      </c>
      <c r="AG19" s="125">
        <f t="shared" si="0"/>
        <v>0.018802971720662278</v>
      </c>
      <c r="AI19" s="17" t="s">
        <v>365</v>
      </c>
      <c r="AJ19" s="91">
        <v>2384298060</v>
      </c>
      <c r="AK19" s="125">
        <f t="shared" si="3"/>
        <v>0.018815102888565482</v>
      </c>
    </row>
    <row r="20" spans="1:37" s="17" customFormat="1" ht="15.75" customHeight="1">
      <c r="A20" s="45"/>
      <c r="B20" s="46"/>
      <c r="C20" s="898"/>
      <c r="D20" s="898"/>
      <c r="E20" s="901"/>
      <c r="F20" s="47" t="s">
        <v>36</v>
      </c>
      <c r="G20" s="108">
        <f t="shared" si="1"/>
        <v>919295.0479824789</v>
      </c>
      <c r="H20" s="48">
        <v>12</v>
      </c>
      <c r="I20" s="109">
        <v>11031540.575789746</v>
      </c>
      <c r="J20" s="41">
        <v>46657883.708378896</v>
      </c>
      <c r="K20" s="42">
        <f>SUM(M20/M26)</f>
        <v>0.00045687098651606606</v>
      </c>
      <c r="L20" s="43" t="s">
        <v>36</v>
      </c>
      <c r="M20" s="44">
        <v>35355273</v>
      </c>
      <c r="N20" s="13"/>
      <c r="O20" s="49">
        <v>0.00048559976960308376</v>
      </c>
      <c r="P20" s="17" t="s">
        <v>37</v>
      </c>
      <c r="Q20" s="19"/>
      <c r="R20" s="17" t="s">
        <v>35</v>
      </c>
      <c r="S20" s="18"/>
      <c r="U20" s="125">
        <v>0.0043</v>
      </c>
      <c r="V20" s="17">
        <f t="shared" si="2"/>
        <v>551834064.790022</v>
      </c>
      <c r="AE20" s="259" t="s">
        <v>367</v>
      </c>
      <c r="AF20" s="260">
        <v>2540160349.220242</v>
      </c>
      <c r="AG20" s="125">
        <f t="shared" si="0"/>
        <v>0.03972624613552176</v>
      </c>
      <c r="AI20" s="17" t="s">
        <v>366</v>
      </c>
      <c r="AJ20" s="91">
        <v>185429729</v>
      </c>
      <c r="AK20" s="125">
        <f t="shared" si="3"/>
        <v>0.001463273190657134</v>
      </c>
    </row>
    <row r="21" spans="1:37" s="17" customFormat="1" ht="15.75" customHeight="1">
      <c r="A21" s="45"/>
      <c r="B21" s="46"/>
      <c r="C21" s="898"/>
      <c r="D21" s="898"/>
      <c r="E21" s="901"/>
      <c r="F21" s="47" t="s">
        <v>39</v>
      </c>
      <c r="G21" s="108">
        <f t="shared" si="1"/>
        <v>368637628.2781907</v>
      </c>
      <c r="H21" s="48">
        <v>12</v>
      </c>
      <c r="I21" s="109">
        <v>4423651539.338288</v>
      </c>
      <c r="J21" s="41">
        <v>3565161297.8369493</v>
      </c>
      <c r="K21" s="42">
        <f>SUM(M21/M26)</f>
        <v>0.034909829374433446</v>
      </c>
      <c r="L21" s="43" t="s">
        <v>39</v>
      </c>
      <c r="M21" s="44">
        <v>2701520964</v>
      </c>
      <c r="N21" s="13"/>
      <c r="O21" s="49">
        <v>0.04558576941856265</v>
      </c>
      <c r="P21" s="17" t="s">
        <v>40</v>
      </c>
      <c r="Q21" s="19">
        <v>43274988</v>
      </c>
      <c r="R21" s="17" t="s">
        <v>37</v>
      </c>
      <c r="S21" s="18"/>
      <c r="U21" s="125">
        <v>0.0572</v>
      </c>
      <c r="V21" s="17">
        <f t="shared" si="2"/>
        <v>7340676396.741689</v>
      </c>
      <c r="AE21" s="259" t="s">
        <v>368</v>
      </c>
      <c r="AF21" s="260">
        <v>0</v>
      </c>
      <c r="AG21" s="125">
        <f t="shared" si="0"/>
        <v>0</v>
      </c>
      <c r="AI21" s="17" t="s">
        <v>367</v>
      </c>
      <c r="AJ21" s="91">
        <v>2580506228</v>
      </c>
      <c r="AK21" s="125">
        <f t="shared" si="3"/>
        <v>0.020363431484905884</v>
      </c>
    </row>
    <row r="22" spans="1:37" s="17" customFormat="1" ht="15.75" customHeight="1">
      <c r="A22" s="45"/>
      <c r="B22" s="46"/>
      <c r="C22" s="898"/>
      <c r="D22" s="898"/>
      <c r="E22" s="901"/>
      <c r="F22" s="50" t="s">
        <v>41</v>
      </c>
      <c r="G22" s="108">
        <f t="shared" si="1"/>
        <v>210743019.24302688</v>
      </c>
      <c r="H22" s="48">
        <v>12</v>
      </c>
      <c r="I22" s="109">
        <v>2528916230.9163227</v>
      </c>
      <c r="J22" s="41">
        <v>2739143057.846892</v>
      </c>
      <c r="K22" s="42">
        <f>SUM(M22/M26)</f>
        <v>0.026821512070047206</v>
      </c>
      <c r="L22" s="43" t="s">
        <v>41</v>
      </c>
      <c r="M22" s="44">
        <v>2075601011</v>
      </c>
      <c r="N22" s="13"/>
      <c r="O22" s="49">
        <v>0.027915748351728272</v>
      </c>
      <c r="P22" s="17" t="s">
        <v>42</v>
      </c>
      <c r="R22" s="17" t="s">
        <v>40</v>
      </c>
      <c r="S22" s="18">
        <v>2182745913</v>
      </c>
      <c r="U22" s="125">
        <v>0.0223</v>
      </c>
      <c r="V22" s="17">
        <f t="shared" si="2"/>
        <v>2861837126.701742</v>
      </c>
      <c r="AE22" s="259" t="s">
        <v>369</v>
      </c>
      <c r="AF22" s="260">
        <v>0</v>
      </c>
      <c r="AG22" s="125">
        <f t="shared" si="0"/>
        <v>0</v>
      </c>
      <c r="AI22" s="17" t="s">
        <v>368</v>
      </c>
      <c r="AJ22" s="91">
        <v>0</v>
      </c>
      <c r="AK22" s="125">
        <f t="shared" si="3"/>
        <v>0</v>
      </c>
    </row>
    <row r="23" spans="1:37" s="17" customFormat="1" ht="15.75" customHeight="1">
      <c r="A23" s="45"/>
      <c r="B23" s="46"/>
      <c r="C23" s="898"/>
      <c r="D23" s="898"/>
      <c r="E23" s="901"/>
      <c r="F23" s="50" t="s">
        <v>57</v>
      </c>
      <c r="G23" s="108">
        <f t="shared" si="1"/>
        <v>16038707.928981697</v>
      </c>
      <c r="H23" s="48">
        <v>12</v>
      </c>
      <c r="I23" s="109">
        <v>192464495.14778036</v>
      </c>
      <c r="J23" s="41">
        <v>154637563.7302752</v>
      </c>
      <c r="K23" s="42">
        <f>SUM(M23/M26)</f>
        <v>0.0015142010455395886</v>
      </c>
      <c r="L23" s="43" t="s">
        <v>43</v>
      </c>
      <c r="M23" s="44">
        <v>117177481</v>
      </c>
      <c r="N23" s="13"/>
      <c r="O23" s="49">
        <v>0.0007271277790406814</v>
      </c>
      <c r="P23" s="17" t="s">
        <v>44</v>
      </c>
      <c r="R23" s="17" t="s">
        <v>42</v>
      </c>
      <c r="S23" s="18">
        <v>270488</v>
      </c>
      <c r="U23" s="125">
        <v>0.0188</v>
      </c>
      <c r="V23" s="17">
        <f t="shared" si="2"/>
        <v>2412669864.6633525</v>
      </c>
      <c r="AE23" s="259" t="s">
        <v>370</v>
      </c>
      <c r="AF23" s="260">
        <v>1095816475.359055</v>
      </c>
      <c r="AG23" s="125">
        <f t="shared" si="0"/>
        <v>0.017137766532273068</v>
      </c>
      <c r="AI23" s="17" t="s">
        <v>369</v>
      </c>
      <c r="AJ23" s="91">
        <v>0</v>
      </c>
      <c r="AK23" s="125">
        <f t="shared" si="3"/>
        <v>0</v>
      </c>
    </row>
    <row r="24" spans="1:37" s="17" customFormat="1" ht="15.75" customHeight="1">
      <c r="A24" s="45"/>
      <c r="B24" s="46"/>
      <c r="C24" s="898"/>
      <c r="D24" s="898"/>
      <c r="E24" s="901"/>
      <c r="F24" s="50" t="s">
        <v>322</v>
      </c>
      <c r="G24" s="108">
        <f t="shared" si="1"/>
        <v>412796163.3033311</v>
      </c>
      <c r="H24" s="48">
        <v>12</v>
      </c>
      <c r="I24" s="109">
        <v>4953553959.639973</v>
      </c>
      <c r="J24" s="41">
        <v>5598573046.115964</v>
      </c>
      <c r="K24" s="42">
        <f>SUM(M24/M26)</f>
        <v>0.05482086600087091</v>
      </c>
      <c r="L24" s="43" t="s">
        <v>45</v>
      </c>
      <c r="M24" s="44">
        <v>4242350118</v>
      </c>
      <c r="N24" s="13"/>
      <c r="O24" s="49">
        <v>0.06363191584185231</v>
      </c>
      <c r="S24" s="18"/>
      <c r="U24" s="125">
        <v>0.1763</v>
      </c>
      <c r="V24" s="17">
        <f t="shared" si="2"/>
        <v>22625196656.390903</v>
      </c>
      <c r="AE24" s="259" t="s">
        <v>371</v>
      </c>
      <c r="AF24" s="260">
        <v>697299259.879206</v>
      </c>
      <c r="AG24" s="125">
        <f t="shared" si="0"/>
        <v>0.01090524936214438</v>
      </c>
      <c r="AI24" s="17" t="s">
        <v>370</v>
      </c>
      <c r="AJ24" s="91">
        <v>2129709694</v>
      </c>
      <c r="AK24" s="125">
        <f t="shared" si="3"/>
        <v>0.016806081289763457</v>
      </c>
    </row>
    <row r="25" spans="1:37" s="17" customFormat="1" ht="15.75" customHeight="1">
      <c r="A25" s="45"/>
      <c r="B25" s="46"/>
      <c r="C25" s="898"/>
      <c r="D25" s="898"/>
      <c r="E25" s="901"/>
      <c r="F25" s="47" t="s">
        <v>59</v>
      </c>
      <c r="G25" s="108">
        <f t="shared" si="1"/>
        <v>712699539.0984725</v>
      </c>
      <c r="H25" s="48">
        <v>12</v>
      </c>
      <c r="I25" s="109">
        <v>8552394469.18167</v>
      </c>
      <c r="J25" s="41">
        <v>7763874622.791764</v>
      </c>
      <c r="K25" s="42">
        <f>SUM(M25/M26)</f>
        <v>0.07602335931633632</v>
      </c>
      <c r="L25" s="51" t="s">
        <v>47</v>
      </c>
      <c r="M25" s="44">
        <v>5883119529</v>
      </c>
      <c r="N25" s="13"/>
      <c r="O25" s="49">
        <v>0.07423750653788547</v>
      </c>
      <c r="P25" s="17" t="s">
        <v>48</v>
      </c>
      <c r="Q25" s="19"/>
      <c r="R25" s="17" t="s">
        <v>44</v>
      </c>
      <c r="U25" s="125">
        <v>0.067</v>
      </c>
      <c r="V25" s="17">
        <f t="shared" si="2"/>
        <v>8598344730.44918</v>
      </c>
      <c r="AE25" s="259" t="s">
        <v>372</v>
      </c>
      <c r="AF25" s="260">
        <v>0</v>
      </c>
      <c r="AG25" s="125">
        <f t="shared" si="0"/>
        <v>0</v>
      </c>
      <c r="AI25" s="17" t="s">
        <v>371</v>
      </c>
      <c r="AJ25" s="91">
        <v>640808</v>
      </c>
      <c r="AK25" s="125">
        <f t="shared" si="3"/>
        <v>5.056779038697817E-06</v>
      </c>
    </row>
    <row r="26" spans="1:37" s="17" customFormat="1" ht="15.75" customHeight="1">
      <c r="A26" s="52"/>
      <c r="B26" s="53"/>
      <c r="C26" s="899"/>
      <c r="D26" s="899"/>
      <c r="E26" s="900"/>
      <c r="F26" s="54" t="s">
        <v>303</v>
      </c>
      <c r="G26" s="55"/>
      <c r="H26" s="55"/>
      <c r="I26" s="110">
        <f>+'20년 추경수입(대전)'!H9</f>
        <v>128333503439.54001</v>
      </c>
      <c r="J26" s="56">
        <f>SUM(J9:J25)</f>
        <v>102124855999.66664</v>
      </c>
      <c r="K26" s="42">
        <f>SUM(K9:K25)</f>
        <v>1</v>
      </c>
      <c r="L26" s="34" t="s">
        <v>49</v>
      </c>
      <c r="M26" s="57">
        <f>SUM(M9:M25)</f>
        <v>77385682268</v>
      </c>
      <c r="N26" s="58"/>
      <c r="P26" s="17" t="s">
        <v>38</v>
      </c>
      <c r="R26" s="42" t="s">
        <v>48</v>
      </c>
      <c r="S26" s="18"/>
      <c r="AE26" s="259" t="s">
        <v>373</v>
      </c>
      <c r="AF26" s="260">
        <v>3518768406.4494076</v>
      </c>
      <c r="AG26" s="125">
        <f t="shared" si="0"/>
        <v>0.05503095891226618</v>
      </c>
      <c r="AI26" s="17" t="s">
        <v>372</v>
      </c>
      <c r="AJ26" s="91">
        <v>0</v>
      </c>
      <c r="AK26" s="125">
        <f t="shared" si="3"/>
        <v>0</v>
      </c>
    </row>
    <row r="27" spans="1:37" s="17" customFormat="1" ht="15.75" customHeight="1">
      <c r="A27" s="52" t="s">
        <v>50</v>
      </c>
      <c r="B27" s="53"/>
      <c r="C27" s="900">
        <f>SUM(C28:C45)</f>
        <v>70458000000</v>
      </c>
      <c r="D27" s="900">
        <f>SUM(D28:D45)</f>
        <v>70458000000</v>
      </c>
      <c r="E27" s="900">
        <f>C27-D27</f>
        <v>0</v>
      </c>
      <c r="F27" s="59"/>
      <c r="G27" s="60"/>
      <c r="H27" s="60"/>
      <c r="I27" s="61"/>
      <c r="J27" s="62"/>
      <c r="L27" s="34"/>
      <c r="M27" s="35" t="s">
        <v>51</v>
      </c>
      <c r="N27" s="36"/>
      <c r="P27" s="42" t="s">
        <v>52</v>
      </c>
      <c r="Q27" s="19">
        <v>346491082</v>
      </c>
      <c r="R27" s="17" t="s">
        <v>38</v>
      </c>
      <c r="AE27" s="259" t="s">
        <v>374</v>
      </c>
      <c r="AF27" s="260">
        <v>535907782.08582056</v>
      </c>
      <c r="AG27" s="125">
        <f t="shared" si="0"/>
        <v>0.008381204935986887</v>
      </c>
      <c r="AI27" s="17" t="s">
        <v>373</v>
      </c>
      <c r="AJ27" s="91">
        <v>9913328600</v>
      </c>
      <c r="AK27" s="125">
        <f t="shared" si="3"/>
        <v>0.07822859931243613</v>
      </c>
    </row>
    <row r="28" spans="1:37" s="17" customFormat="1" ht="15.75" customHeight="1">
      <c r="A28" s="37"/>
      <c r="B28" s="38" t="s">
        <v>300</v>
      </c>
      <c r="C28" s="897">
        <f>+I45</f>
        <v>70458000000</v>
      </c>
      <c r="D28" s="897">
        <v>70458000000</v>
      </c>
      <c r="E28" s="897">
        <f>C28-D28</f>
        <v>0</v>
      </c>
      <c r="F28" s="63" t="s">
        <v>10</v>
      </c>
      <c r="G28" s="121">
        <f>I28/H28</f>
        <v>1964477862.081713</v>
      </c>
      <c r="H28" s="64">
        <v>12</v>
      </c>
      <c r="I28" s="111">
        <v>23573734344.980556</v>
      </c>
      <c r="J28" s="48"/>
      <c r="K28" s="42">
        <f>SUM(M28/M45)</f>
        <v>0.3293137282038295</v>
      </c>
      <c r="L28" s="43" t="s">
        <v>10</v>
      </c>
      <c r="M28" s="44">
        <v>12050804917</v>
      </c>
      <c r="N28" s="13">
        <f>+J28*101.42%</f>
        <v>0</v>
      </c>
      <c r="O28" s="49">
        <v>0.2893935477751763</v>
      </c>
      <c r="P28" s="17" t="s">
        <v>309</v>
      </c>
      <c r="Q28" s="19">
        <v>47411373</v>
      </c>
      <c r="R28" s="17" t="s">
        <v>310</v>
      </c>
      <c r="S28" s="18">
        <v>34695107</v>
      </c>
      <c r="U28" s="125">
        <v>0.2496</v>
      </c>
      <c r="V28" s="91">
        <f>$C$28*U28</f>
        <v>17586316800</v>
      </c>
      <c r="W28" s="42"/>
      <c r="X28" s="1009"/>
      <c r="Y28" s="1009"/>
      <c r="AE28" s="259" t="s">
        <v>375</v>
      </c>
      <c r="AF28" s="260">
        <v>1905685094.3455408</v>
      </c>
      <c r="AG28" s="125">
        <f t="shared" si="0"/>
        <v>0.02980351816687694</v>
      </c>
      <c r="AI28" s="17" t="s">
        <v>374</v>
      </c>
      <c r="AJ28" s="91">
        <v>3806062731</v>
      </c>
      <c r="AK28" s="125">
        <f t="shared" si="3"/>
        <v>0.03003460980214006</v>
      </c>
    </row>
    <row r="29" spans="1:37" s="17" customFormat="1" ht="15.75" customHeight="1">
      <c r="A29" s="45"/>
      <c r="B29" s="46"/>
      <c r="C29" s="901"/>
      <c r="D29" s="901"/>
      <c r="E29" s="901"/>
      <c r="F29" s="66" t="s">
        <v>13</v>
      </c>
      <c r="G29" s="122">
        <f aca="true" t="shared" si="4" ref="G29:G44">I29/H29</f>
        <v>265452222.59933385</v>
      </c>
      <c r="H29" s="62">
        <v>12</v>
      </c>
      <c r="I29" s="112">
        <v>3185426671.192006</v>
      </c>
      <c r="J29" s="48"/>
      <c r="K29" s="42">
        <f>SUM(M29/M45)</f>
        <v>0.06482470397208413</v>
      </c>
      <c r="L29" s="43" t="s">
        <v>13</v>
      </c>
      <c r="M29" s="44">
        <v>2372175207</v>
      </c>
      <c r="N29" s="13">
        <f aca="true" t="shared" si="5" ref="N29:N44">+J29*101.42%</f>
        <v>0</v>
      </c>
      <c r="O29" s="49">
        <v>0.058441106890782996</v>
      </c>
      <c r="P29" s="17" t="s">
        <v>311</v>
      </c>
      <c r="R29" s="17" t="s">
        <v>309</v>
      </c>
      <c r="S29" s="18">
        <v>513380</v>
      </c>
      <c r="U29" s="125">
        <v>0.1205</v>
      </c>
      <c r="V29" s="91">
        <f aca="true" t="shared" si="6" ref="V29:V44">$C$28*U29</f>
        <v>8490189000</v>
      </c>
      <c r="W29" s="42"/>
      <c r="X29" s="1009"/>
      <c r="Y29" s="1009"/>
      <c r="AE29" s="259" t="s">
        <v>376</v>
      </c>
      <c r="AF29" s="260">
        <v>0</v>
      </c>
      <c r="AG29" s="125">
        <f t="shared" si="0"/>
        <v>0</v>
      </c>
      <c r="AI29" s="17" t="s">
        <v>375</v>
      </c>
      <c r="AJ29" s="91">
        <v>656735677</v>
      </c>
      <c r="AK29" s="125">
        <f t="shared" si="3"/>
        <v>0.00518246839212154</v>
      </c>
    </row>
    <row r="30" spans="1:37" s="17" customFormat="1" ht="15.75" customHeight="1">
      <c r="A30" s="45"/>
      <c r="B30" s="46"/>
      <c r="C30" s="901"/>
      <c r="D30" s="901"/>
      <c r="E30" s="901"/>
      <c r="F30" s="66" t="s">
        <v>15</v>
      </c>
      <c r="G30" s="122">
        <f t="shared" si="4"/>
        <v>190611544.12323046</v>
      </c>
      <c r="H30" s="62">
        <v>12</v>
      </c>
      <c r="I30" s="112">
        <v>2287338529.4787655</v>
      </c>
      <c r="J30" s="48"/>
      <c r="K30" s="42">
        <f>SUM(M30/M45)</f>
        <v>0.04661652316322311</v>
      </c>
      <c r="L30" s="43" t="s">
        <v>15</v>
      </c>
      <c r="M30" s="44">
        <v>1705870659</v>
      </c>
      <c r="N30" s="13">
        <f t="shared" si="5"/>
        <v>0</v>
      </c>
      <c r="O30" s="49">
        <v>0.047897207350128236</v>
      </c>
      <c r="P30" s="17" t="s">
        <v>312</v>
      </c>
      <c r="R30" s="17" t="s">
        <v>311</v>
      </c>
      <c r="U30" s="125">
        <v>0.1269</v>
      </c>
      <c r="V30" s="91">
        <f t="shared" si="6"/>
        <v>8941120200</v>
      </c>
      <c r="W30" s="42"/>
      <c r="X30" s="1009"/>
      <c r="Y30" s="1009"/>
      <c r="AE30" s="259" t="s">
        <v>377</v>
      </c>
      <c r="AF30" s="260">
        <v>44466580.755765475</v>
      </c>
      <c r="AG30" s="125">
        <f t="shared" si="0"/>
        <v>0.0006954247327145538</v>
      </c>
      <c r="AI30" s="17" t="s">
        <v>376</v>
      </c>
      <c r="AJ30" s="91">
        <v>0</v>
      </c>
      <c r="AK30" s="125">
        <f t="shared" si="3"/>
        <v>0</v>
      </c>
    </row>
    <row r="31" spans="1:37" s="17" customFormat="1" ht="15.75" customHeight="1">
      <c r="A31" s="45"/>
      <c r="B31" s="46"/>
      <c r="C31" s="901"/>
      <c r="D31" s="901"/>
      <c r="E31" s="901"/>
      <c r="F31" s="66" t="s">
        <v>17</v>
      </c>
      <c r="G31" s="122">
        <f t="shared" si="4"/>
        <v>79244642.29523468</v>
      </c>
      <c r="H31" s="62">
        <v>12</v>
      </c>
      <c r="I31" s="112">
        <v>950935707.5428162</v>
      </c>
      <c r="J31" s="48"/>
      <c r="K31" s="42">
        <f>SUM(M31/M45)</f>
        <v>0.02089930847186529</v>
      </c>
      <c r="L31" s="43" t="s">
        <v>17</v>
      </c>
      <c r="M31" s="44">
        <v>764782843</v>
      </c>
      <c r="N31" s="13">
        <f t="shared" si="5"/>
        <v>0</v>
      </c>
      <c r="O31" s="49">
        <v>0.021426978838763846</v>
      </c>
      <c r="P31" s="17" t="s">
        <v>313</v>
      </c>
      <c r="R31" s="17" t="s">
        <v>312</v>
      </c>
      <c r="U31" s="125">
        <v>0.1101</v>
      </c>
      <c r="V31" s="91">
        <f t="shared" si="6"/>
        <v>7757425800</v>
      </c>
      <c r="W31" s="42"/>
      <c r="X31" s="1009"/>
      <c r="Y31" s="1009"/>
      <c r="AE31" s="259" t="s">
        <v>378</v>
      </c>
      <c r="AF31" s="260">
        <v>0</v>
      </c>
      <c r="AG31" s="125">
        <f t="shared" si="0"/>
        <v>0</v>
      </c>
      <c r="AI31" s="17" t="s">
        <v>377</v>
      </c>
      <c r="AJ31" s="91">
        <v>1876923289</v>
      </c>
      <c r="AK31" s="125">
        <f t="shared" si="3"/>
        <v>0.014811279423881982</v>
      </c>
    </row>
    <row r="32" spans="1:37" s="17" customFormat="1" ht="15.75" customHeight="1">
      <c r="A32" s="45"/>
      <c r="B32" s="46"/>
      <c r="C32" s="901"/>
      <c r="D32" s="901"/>
      <c r="E32" s="901"/>
      <c r="F32" s="66" t="s">
        <v>21</v>
      </c>
      <c r="G32" s="122">
        <f t="shared" si="4"/>
        <v>55342259.73404979</v>
      </c>
      <c r="H32" s="62">
        <v>12</v>
      </c>
      <c r="I32" s="112">
        <v>664107116.8085974</v>
      </c>
      <c r="J32" s="48"/>
      <c r="K32" s="42">
        <f>SUM(M32/M45)</f>
        <v>0.011466651678895635</v>
      </c>
      <c r="L32" s="43" t="s">
        <v>21</v>
      </c>
      <c r="M32" s="44">
        <v>419607112</v>
      </c>
      <c r="N32" s="13">
        <f t="shared" si="5"/>
        <v>0</v>
      </c>
      <c r="O32" s="49">
        <v>0.009618651782978622</v>
      </c>
      <c r="P32" s="17" t="s">
        <v>314</v>
      </c>
      <c r="R32" s="17" t="s">
        <v>315</v>
      </c>
      <c r="U32" s="125">
        <v>0.0752</v>
      </c>
      <c r="V32" s="91">
        <f t="shared" si="6"/>
        <v>5298441600</v>
      </c>
      <c r="W32" s="42"/>
      <c r="X32" s="1009"/>
      <c r="Y32" s="1009"/>
      <c r="AE32" s="259" t="s">
        <v>379</v>
      </c>
      <c r="AF32" s="260">
        <v>11272950965.513483</v>
      </c>
      <c r="AG32" s="125">
        <f t="shared" si="0"/>
        <v>0.1763006909650913</v>
      </c>
      <c r="AI32" s="17" t="s">
        <v>378</v>
      </c>
      <c r="AJ32" s="91">
        <v>0</v>
      </c>
      <c r="AK32" s="125">
        <f t="shared" si="3"/>
        <v>0</v>
      </c>
    </row>
    <row r="33" spans="1:37" s="17" customFormat="1" ht="15.75" customHeight="1">
      <c r="A33" s="45"/>
      <c r="B33" s="46"/>
      <c r="C33" s="901"/>
      <c r="D33" s="901"/>
      <c r="E33" s="901"/>
      <c r="F33" s="66" t="s">
        <v>24</v>
      </c>
      <c r="G33" s="122">
        <f t="shared" si="4"/>
        <v>39766817.672544666</v>
      </c>
      <c r="H33" s="62">
        <v>12</v>
      </c>
      <c r="I33" s="112">
        <v>477201812.07053596</v>
      </c>
      <c r="J33" s="48"/>
      <c r="K33" s="42">
        <f>SUM(M33/M45)</f>
        <v>0.006321685997277022</v>
      </c>
      <c r="L33" s="43" t="s">
        <v>24</v>
      </c>
      <c r="M33" s="44">
        <v>231333826</v>
      </c>
      <c r="N33" s="13">
        <f t="shared" si="5"/>
        <v>0</v>
      </c>
      <c r="O33" s="49">
        <v>0.005528351141318181</v>
      </c>
      <c r="P33" s="17" t="s">
        <v>316</v>
      </c>
      <c r="Q33" s="19">
        <v>745480</v>
      </c>
      <c r="R33" s="17" t="s">
        <v>317</v>
      </c>
      <c r="U33" s="125">
        <v>0.0121</v>
      </c>
      <c r="V33" s="91">
        <f t="shared" si="6"/>
        <v>852541800</v>
      </c>
      <c r="W33" s="42"/>
      <c r="X33" s="1009"/>
      <c r="Y33" s="1009"/>
      <c r="AE33" s="259" t="s">
        <v>380</v>
      </c>
      <c r="AF33" s="260">
        <v>0</v>
      </c>
      <c r="AG33" s="125">
        <f t="shared" si="0"/>
        <v>0</v>
      </c>
      <c r="AI33" s="17" t="s">
        <v>379</v>
      </c>
      <c r="AJ33" s="91">
        <v>4776180471</v>
      </c>
      <c r="AK33" s="125">
        <f t="shared" si="3"/>
        <v>0.03769005582138592</v>
      </c>
    </row>
    <row r="34" spans="1:37" s="17" customFormat="1" ht="15.75" customHeight="1" thickBot="1">
      <c r="A34" s="128"/>
      <c r="B34" s="129"/>
      <c r="C34" s="902"/>
      <c r="D34" s="902"/>
      <c r="E34" s="902"/>
      <c r="F34" s="130" t="s">
        <v>26</v>
      </c>
      <c r="G34" s="131">
        <f t="shared" si="4"/>
        <v>186885287.42517447</v>
      </c>
      <c r="H34" s="132">
        <v>12</v>
      </c>
      <c r="I34" s="133">
        <v>2242623449.1020937</v>
      </c>
      <c r="J34" s="48"/>
      <c r="K34" s="42">
        <f>SUM(M34/M45)</f>
        <v>0.036567930639596596</v>
      </c>
      <c r="L34" s="43" t="s">
        <v>26</v>
      </c>
      <c r="M34" s="44">
        <v>1338155566</v>
      </c>
      <c r="N34" s="13">
        <f t="shared" si="5"/>
        <v>0</v>
      </c>
      <c r="O34" s="49">
        <v>0.04018828748582029</v>
      </c>
      <c r="P34" s="17" t="s">
        <v>317</v>
      </c>
      <c r="R34" s="17" t="s">
        <v>316</v>
      </c>
      <c r="S34" s="18"/>
      <c r="U34" s="125">
        <v>0.0394</v>
      </c>
      <c r="V34" s="91">
        <f t="shared" si="6"/>
        <v>2776045200</v>
      </c>
      <c r="W34" s="42"/>
      <c r="X34" s="1009"/>
      <c r="Y34" s="1009"/>
      <c r="AE34" s="259" t="s">
        <v>381</v>
      </c>
      <c r="AF34" s="260">
        <v>0</v>
      </c>
      <c r="AG34" s="125">
        <f t="shared" si="0"/>
        <v>0</v>
      </c>
      <c r="AI34" s="17" t="s">
        <v>380</v>
      </c>
      <c r="AJ34" s="91">
        <v>0</v>
      </c>
      <c r="AK34" s="125">
        <f t="shared" si="3"/>
        <v>0</v>
      </c>
    </row>
    <row r="35" spans="1:37" s="17" customFormat="1" ht="15.75" customHeight="1">
      <c r="A35" s="45" t="s">
        <v>50</v>
      </c>
      <c r="B35" s="46" t="s">
        <v>300</v>
      </c>
      <c r="C35" s="901"/>
      <c r="D35" s="901"/>
      <c r="E35" s="901"/>
      <c r="F35" s="66" t="s">
        <v>387</v>
      </c>
      <c r="G35" s="122">
        <f t="shared" si="4"/>
        <v>290324504.196719</v>
      </c>
      <c r="H35" s="62">
        <v>12</v>
      </c>
      <c r="I35" s="112">
        <v>3483894050.3606277</v>
      </c>
      <c r="J35" s="48"/>
      <c r="K35" s="42">
        <f>SUM(M35/M45)</f>
        <v>0.13453593782280765</v>
      </c>
      <c r="L35" s="43" t="s">
        <v>53</v>
      </c>
      <c r="M35" s="44">
        <v>4923166580</v>
      </c>
      <c r="N35" s="13">
        <f t="shared" si="5"/>
        <v>0</v>
      </c>
      <c r="O35" s="49">
        <v>0.124989467824062</v>
      </c>
      <c r="P35" s="17" t="s">
        <v>318</v>
      </c>
      <c r="Q35" s="19">
        <v>525430394</v>
      </c>
      <c r="R35" s="17" t="s">
        <v>319</v>
      </c>
      <c r="U35" s="125">
        <v>0.0782</v>
      </c>
      <c r="V35" s="91">
        <f t="shared" si="6"/>
        <v>5509815600</v>
      </c>
      <c r="W35" s="42"/>
      <c r="X35" s="1009"/>
      <c r="Y35" s="1009"/>
      <c r="AE35" s="259" t="s">
        <v>382</v>
      </c>
      <c r="AF35" s="260">
        <v>275133617.4723264</v>
      </c>
      <c r="AG35" s="125">
        <f t="shared" si="0"/>
        <v>0.004302888127207143</v>
      </c>
      <c r="AI35" s="17" t="s">
        <v>381</v>
      </c>
      <c r="AJ35" s="91">
        <v>0</v>
      </c>
      <c r="AK35" s="125">
        <f t="shared" si="3"/>
        <v>0</v>
      </c>
    </row>
    <row r="36" spans="1:37" s="17" customFormat="1" ht="15.75" customHeight="1">
      <c r="A36" s="45"/>
      <c r="B36" s="46" t="s">
        <v>20</v>
      </c>
      <c r="C36" s="901" t="s">
        <v>20</v>
      </c>
      <c r="D36" s="901" t="s">
        <v>20</v>
      </c>
      <c r="E36" s="901" t="s">
        <v>20</v>
      </c>
      <c r="F36" s="66" t="s">
        <v>30</v>
      </c>
      <c r="G36" s="122">
        <f t="shared" si="4"/>
        <v>152443380.14025477</v>
      </c>
      <c r="H36" s="62">
        <v>12</v>
      </c>
      <c r="I36" s="112">
        <v>1829320561.6830573</v>
      </c>
      <c r="J36" s="48"/>
      <c r="K36" s="42">
        <f>SUM(M36/M45)</f>
        <v>0.02131565570142421</v>
      </c>
      <c r="L36" s="43" t="s">
        <v>320</v>
      </c>
      <c r="M36" s="44">
        <v>780018525</v>
      </c>
      <c r="N36" s="13">
        <f t="shared" si="5"/>
        <v>0</v>
      </c>
      <c r="O36" s="49">
        <v>0.015271309367229246</v>
      </c>
      <c r="P36" s="17" t="s">
        <v>321</v>
      </c>
      <c r="Q36" s="19"/>
      <c r="R36" s="17" t="s">
        <v>318</v>
      </c>
      <c r="S36" s="18">
        <v>1607687982</v>
      </c>
      <c r="U36" s="125">
        <v>0.0081</v>
      </c>
      <c r="V36" s="91">
        <f t="shared" si="6"/>
        <v>570709800</v>
      </c>
      <c r="W36" s="42"/>
      <c r="X36" s="1009"/>
      <c r="Y36" s="1009"/>
      <c r="AE36" s="261" t="s">
        <v>383</v>
      </c>
      <c r="AF36" s="260">
        <v>0</v>
      </c>
      <c r="AG36" s="125">
        <f t="shared" si="0"/>
        <v>0</v>
      </c>
      <c r="AI36" s="17" t="s">
        <v>382</v>
      </c>
      <c r="AJ36" s="91">
        <v>11019041</v>
      </c>
      <c r="AK36" s="125">
        <f t="shared" si="3"/>
        <v>8.695405730788602E-05</v>
      </c>
    </row>
    <row r="37" spans="1:37" s="17" customFormat="1" ht="15.75" customHeight="1">
      <c r="A37" s="45"/>
      <c r="B37" s="46"/>
      <c r="C37" s="901"/>
      <c r="D37" s="901"/>
      <c r="E37" s="901"/>
      <c r="F37" s="66" t="s">
        <v>388</v>
      </c>
      <c r="G37" s="122">
        <f t="shared" si="4"/>
        <v>216416240.43412217</v>
      </c>
      <c r="H37" s="62">
        <v>12</v>
      </c>
      <c r="I37" s="112">
        <v>2596994885.209466</v>
      </c>
      <c r="J37" s="48"/>
      <c r="K37" s="42">
        <f>SUM(M37/M45)</f>
        <v>0.03286968971002594</v>
      </c>
      <c r="L37" s="43" t="s">
        <v>32</v>
      </c>
      <c r="M37" s="44">
        <v>1202823279</v>
      </c>
      <c r="N37" s="13">
        <f t="shared" si="5"/>
        <v>0</v>
      </c>
      <c r="O37" s="49">
        <v>0.031705026383007415</v>
      </c>
      <c r="P37" s="17" t="s">
        <v>322</v>
      </c>
      <c r="Q37" s="19">
        <v>16545163</v>
      </c>
      <c r="R37" s="17" t="s">
        <v>321</v>
      </c>
      <c r="S37" s="18">
        <v>3730793932</v>
      </c>
      <c r="U37" s="125">
        <v>0.0015</v>
      </c>
      <c r="V37" s="91">
        <f t="shared" si="6"/>
        <v>105687000</v>
      </c>
      <c r="W37" s="42"/>
      <c r="X37" s="1009"/>
      <c r="Y37" s="1009"/>
      <c r="AE37" s="262" t="s">
        <v>384</v>
      </c>
      <c r="AF37" s="260">
        <v>0</v>
      </c>
      <c r="AG37" s="125">
        <f t="shared" si="0"/>
        <v>0</v>
      </c>
      <c r="AI37" s="17" t="s">
        <v>383</v>
      </c>
      <c r="AJ37" s="91">
        <v>-1634367</v>
      </c>
      <c r="AK37" s="125">
        <f t="shared" si="3"/>
        <v>-1.2897206007321123E-05</v>
      </c>
    </row>
    <row r="38" spans="1:37" s="17" customFormat="1" ht="15.75" customHeight="1" thickBot="1">
      <c r="A38" s="45"/>
      <c r="B38" s="46"/>
      <c r="C38" s="901"/>
      <c r="D38" s="901"/>
      <c r="E38" s="901"/>
      <c r="F38" s="66" t="s">
        <v>34</v>
      </c>
      <c r="G38" s="122">
        <f t="shared" si="4"/>
        <v>66484989.67460734</v>
      </c>
      <c r="H38" s="62">
        <v>12</v>
      </c>
      <c r="I38" s="112">
        <v>797819876.095288</v>
      </c>
      <c r="J38" s="48"/>
      <c r="K38" s="42">
        <f>SUM(M38/M45)</f>
        <v>0.00892420472570473</v>
      </c>
      <c r="L38" s="43" t="s">
        <v>54</v>
      </c>
      <c r="M38" s="44">
        <v>326569593</v>
      </c>
      <c r="N38" s="13">
        <f t="shared" si="5"/>
        <v>0</v>
      </c>
      <c r="O38" s="49">
        <v>0.006911248144078024</v>
      </c>
      <c r="P38" s="17" t="s">
        <v>323</v>
      </c>
      <c r="R38" s="17" t="s">
        <v>322</v>
      </c>
      <c r="S38" s="18">
        <v>354126303</v>
      </c>
      <c r="U38" s="125">
        <v>0.0021</v>
      </c>
      <c r="V38" s="91">
        <f t="shared" si="6"/>
        <v>147961800</v>
      </c>
      <c r="W38" s="42"/>
      <c r="X38" s="1009"/>
      <c r="Y38" s="1009"/>
      <c r="AE38" s="263" t="s">
        <v>386</v>
      </c>
      <c r="AF38" s="264">
        <v>63941615338.000015</v>
      </c>
      <c r="AI38" s="17" t="s">
        <v>384</v>
      </c>
      <c r="AJ38" s="91">
        <v>0</v>
      </c>
      <c r="AK38" s="125">
        <f t="shared" si="3"/>
        <v>0</v>
      </c>
    </row>
    <row r="39" spans="1:36" s="17" customFormat="1" ht="15.75" customHeight="1" thickTop="1">
      <c r="A39" s="45"/>
      <c r="B39" s="46"/>
      <c r="C39" s="901"/>
      <c r="D39" s="901"/>
      <c r="E39" s="901"/>
      <c r="F39" s="66" t="s">
        <v>36</v>
      </c>
      <c r="G39" s="122">
        <f t="shared" si="4"/>
        <v>22266273.73422085</v>
      </c>
      <c r="H39" s="62">
        <v>12</v>
      </c>
      <c r="I39" s="112">
        <v>267195284.81065023</v>
      </c>
      <c r="J39" s="48"/>
      <c r="K39" s="42">
        <f>SUM(M39/M45)</f>
        <v>0.04040109356861682</v>
      </c>
      <c r="L39" s="43" t="s">
        <v>41</v>
      </c>
      <c r="M39" s="44">
        <v>1478425147</v>
      </c>
      <c r="N39" s="13">
        <f t="shared" si="5"/>
        <v>0</v>
      </c>
      <c r="O39" s="49">
        <v>0.03605143410516609</v>
      </c>
      <c r="P39" s="17" t="s">
        <v>324</v>
      </c>
      <c r="Q39" s="19"/>
      <c r="R39" s="17" t="s">
        <v>325</v>
      </c>
      <c r="U39" s="125">
        <v>0.0001</v>
      </c>
      <c r="V39" s="91">
        <f t="shared" si="6"/>
        <v>7045800</v>
      </c>
      <c r="W39" s="42"/>
      <c r="X39" s="1009"/>
      <c r="Y39" s="1009"/>
      <c r="AI39" s="17" t="s">
        <v>386</v>
      </c>
      <c r="AJ39" s="91">
        <v>126722562939</v>
      </c>
    </row>
    <row r="40" spans="1:36" s="17" customFormat="1" ht="15.75" customHeight="1">
      <c r="A40" s="45"/>
      <c r="B40" s="46"/>
      <c r="C40" s="901"/>
      <c r="D40" s="901"/>
      <c r="E40" s="901"/>
      <c r="F40" s="66" t="s">
        <v>39</v>
      </c>
      <c r="G40" s="122">
        <f t="shared" si="4"/>
        <v>301733794.98647624</v>
      </c>
      <c r="H40" s="62">
        <v>12</v>
      </c>
      <c r="I40" s="112">
        <v>3620805539.837715</v>
      </c>
      <c r="J40" s="48"/>
      <c r="K40" s="42">
        <f>SUM(M40/M45)</f>
        <v>0.012894173886060265</v>
      </c>
      <c r="L40" s="43" t="s">
        <v>55</v>
      </c>
      <c r="M40" s="44">
        <v>471845419</v>
      </c>
      <c r="N40" s="13">
        <f t="shared" si="5"/>
        <v>0</v>
      </c>
      <c r="O40" s="49">
        <v>0.011988767994942867</v>
      </c>
      <c r="P40" s="17" t="s">
        <v>326</v>
      </c>
      <c r="Q40" s="19">
        <v>9100</v>
      </c>
      <c r="R40" s="17" t="s">
        <v>327</v>
      </c>
      <c r="U40" s="125">
        <v>0.0324</v>
      </c>
      <c r="V40" s="91">
        <f t="shared" si="6"/>
        <v>2282839200</v>
      </c>
      <c r="W40" s="42"/>
      <c r="X40" s="1009"/>
      <c r="Y40" s="1009"/>
      <c r="AJ40" s="91"/>
    </row>
    <row r="41" spans="1:36" s="17" customFormat="1" ht="15.75" customHeight="1">
      <c r="A41" s="45"/>
      <c r="B41" s="46"/>
      <c r="C41" s="901"/>
      <c r="D41" s="901"/>
      <c r="E41" s="901"/>
      <c r="F41" s="66" t="s">
        <v>41</v>
      </c>
      <c r="G41" s="122">
        <f t="shared" si="4"/>
        <v>118162787.71605803</v>
      </c>
      <c r="H41" s="62">
        <v>12</v>
      </c>
      <c r="I41" s="112">
        <v>1417953452.5926964</v>
      </c>
      <c r="J41" s="48"/>
      <c r="K41" s="42">
        <f>SUM(M41/M45)</f>
        <v>0.03717864497844758</v>
      </c>
      <c r="L41" s="43" t="s">
        <v>56</v>
      </c>
      <c r="M41" s="44">
        <v>1360503858</v>
      </c>
      <c r="N41" s="13">
        <f t="shared" si="5"/>
        <v>0</v>
      </c>
      <c r="O41" s="49">
        <v>0.04631049711319627</v>
      </c>
      <c r="P41" s="17" t="s">
        <v>328</v>
      </c>
      <c r="R41" s="17" t="s">
        <v>326</v>
      </c>
      <c r="S41" s="18">
        <v>139133755</v>
      </c>
      <c r="U41" s="125">
        <v>0.0188</v>
      </c>
      <c r="V41" s="91">
        <f t="shared" si="6"/>
        <v>1324610400</v>
      </c>
      <c r="W41" s="42"/>
      <c r="X41" s="1009"/>
      <c r="Y41" s="1009"/>
      <c r="AJ41" s="91"/>
    </row>
    <row r="42" spans="1:36" s="17" customFormat="1" ht="15.75" customHeight="1">
      <c r="A42" s="45"/>
      <c r="B42" s="46"/>
      <c r="C42" s="898"/>
      <c r="D42" s="898"/>
      <c r="E42" s="901"/>
      <c r="F42" s="66" t="s">
        <v>57</v>
      </c>
      <c r="G42" s="122">
        <f t="shared" si="4"/>
        <v>102521666.99161007</v>
      </c>
      <c r="H42" s="62">
        <v>12</v>
      </c>
      <c r="I42" s="112">
        <v>1230260003.8993208</v>
      </c>
      <c r="J42" s="48"/>
      <c r="K42" s="42">
        <f>SUM(M42/M45)</f>
        <v>0.011927840353546706</v>
      </c>
      <c r="L42" s="43" t="s">
        <v>58</v>
      </c>
      <c r="M42" s="44">
        <v>436483708</v>
      </c>
      <c r="N42" s="13">
        <f t="shared" si="5"/>
        <v>0</v>
      </c>
      <c r="O42" s="49">
        <v>0.009145855859892143</v>
      </c>
      <c r="P42" s="17" t="s">
        <v>329</v>
      </c>
      <c r="R42" s="17" t="s">
        <v>330</v>
      </c>
      <c r="U42" s="125">
        <v>0.0015</v>
      </c>
      <c r="V42" s="91">
        <f t="shared" si="6"/>
        <v>105687000</v>
      </c>
      <c r="W42" s="42"/>
      <c r="X42" s="1009"/>
      <c r="Y42" s="1009"/>
      <c r="AJ42" s="91"/>
    </row>
    <row r="43" spans="1:36" s="17" customFormat="1" ht="15.75" customHeight="1">
      <c r="A43" s="45"/>
      <c r="B43" s="46"/>
      <c r="C43" s="898"/>
      <c r="D43" s="898"/>
      <c r="E43" s="901"/>
      <c r="F43" s="66" t="s">
        <v>322</v>
      </c>
      <c r="G43" s="122">
        <f t="shared" si="4"/>
        <v>965264538.2669749</v>
      </c>
      <c r="H43" s="62">
        <v>12</v>
      </c>
      <c r="I43" s="112">
        <v>11583174459.2037</v>
      </c>
      <c r="J43" s="48"/>
      <c r="K43" s="42">
        <f>SUM(M43/M45)</f>
        <v>0.1578946699208779</v>
      </c>
      <c r="L43" s="43" t="s">
        <v>45</v>
      </c>
      <c r="M43" s="44">
        <v>5777948812</v>
      </c>
      <c r="N43" s="13">
        <f t="shared" si="5"/>
        <v>0</v>
      </c>
      <c r="O43" s="49">
        <v>0.13525975357482328</v>
      </c>
      <c r="P43" s="17" t="s">
        <v>331</v>
      </c>
      <c r="R43" s="17" t="s">
        <v>332</v>
      </c>
      <c r="U43" s="125">
        <v>0.0377</v>
      </c>
      <c r="V43" s="91">
        <f t="shared" si="6"/>
        <v>2656266600</v>
      </c>
      <c r="W43" s="42"/>
      <c r="X43" s="1009"/>
      <c r="Y43" s="1009"/>
      <c r="AJ43" s="91"/>
    </row>
    <row r="44" spans="1:36" s="17" customFormat="1" ht="15.75" customHeight="1">
      <c r="A44" s="45"/>
      <c r="B44" s="46"/>
      <c r="C44" s="898"/>
      <c r="D44" s="898"/>
      <c r="E44" s="901"/>
      <c r="F44" s="66" t="s">
        <v>59</v>
      </c>
      <c r="G44" s="122">
        <f t="shared" si="4"/>
        <v>387601187.9276755</v>
      </c>
      <c r="H44" s="62">
        <v>12</v>
      </c>
      <c r="I44" s="112">
        <v>4651214255.132106</v>
      </c>
      <c r="J44" s="48"/>
      <c r="K44" s="42">
        <f>SUM(M44/M45)</f>
        <v>0.026047557205716942</v>
      </c>
      <c r="L44" s="43" t="s">
        <v>333</v>
      </c>
      <c r="M44" s="67">
        <v>953176268</v>
      </c>
      <c r="N44" s="13">
        <f t="shared" si="5"/>
        <v>0</v>
      </c>
      <c r="O44" s="49">
        <v>0.03477778058697117</v>
      </c>
      <c r="P44" s="17" t="s">
        <v>334</v>
      </c>
      <c r="R44" s="17" t="s">
        <v>331</v>
      </c>
      <c r="U44" s="125">
        <v>0.0858</v>
      </c>
      <c r="V44" s="91">
        <f t="shared" si="6"/>
        <v>6045296400</v>
      </c>
      <c r="W44" s="42"/>
      <c r="X44" s="1009"/>
      <c r="Y44" s="1009"/>
      <c r="AJ44" s="91"/>
    </row>
    <row r="45" spans="1:36" s="17" customFormat="1" ht="15.75" customHeight="1">
      <c r="A45" s="52"/>
      <c r="B45" s="53" t="s">
        <v>20</v>
      </c>
      <c r="C45" s="899"/>
      <c r="D45" s="899"/>
      <c r="E45" s="900" t="s">
        <v>20</v>
      </c>
      <c r="F45" s="68" t="s">
        <v>60</v>
      </c>
      <c r="G45" s="60"/>
      <c r="H45" s="60"/>
      <c r="I45" s="123">
        <f>+'20년 추경수입(대전)'!H10</f>
        <v>70458000000</v>
      </c>
      <c r="J45" s="69">
        <v>52504996000</v>
      </c>
      <c r="K45" s="42">
        <f>SUM(K28:K44)</f>
        <v>1</v>
      </c>
      <c r="L45" s="35" t="s">
        <v>335</v>
      </c>
      <c r="M45" s="57">
        <f>SUM(M28:M44)</f>
        <v>36593691319</v>
      </c>
      <c r="N45" s="58">
        <f>SUM(N28:N44)</f>
        <v>0</v>
      </c>
      <c r="O45" s="49">
        <v>1</v>
      </c>
      <c r="P45" s="17" t="s">
        <v>336</v>
      </c>
      <c r="Q45" s="18">
        <v>858552198</v>
      </c>
      <c r="R45" s="17" t="s">
        <v>337</v>
      </c>
      <c r="S45" s="18">
        <v>731452</v>
      </c>
      <c r="V45" s="91">
        <f>SUM(V28:V44)</f>
        <v>70458000000</v>
      </c>
      <c r="X45" s="1009"/>
      <c r="Y45" s="1009"/>
      <c r="AJ45" s="91"/>
    </row>
    <row r="46" spans="1:36" s="17" customFormat="1" ht="15.75" customHeight="1">
      <c r="A46" s="29" t="s">
        <v>61</v>
      </c>
      <c r="B46" s="30"/>
      <c r="C46" s="896">
        <f>SUM(C47)</f>
        <v>9360000000</v>
      </c>
      <c r="D46" s="896">
        <f>SUM(D47)</f>
        <v>9360000000</v>
      </c>
      <c r="E46" s="896">
        <f>C46-D46</f>
        <v>0</v>
      </c>
      <c r="F46" s="31"/>
      <c r="G46" s="70"/>
      <c r="H46" s="70"/>
      <c r="I46" s="71"/>
      <c r="J46" s="62"/>
      <c r="L46" s="18"/>
      <c r="M46" s="35" t="s">
        <v>62</v>
      </c>
      <c r="N46" s="36"/>
      <c r="O46" s="18"/>
      <c r="P46" s="17" t="s">
        <v>63</v>
      </c>
      <c r="Q46" s="18">
        <f>136126680</f>
        <v>136126680</v>
      </c>
      <c r="R46" s="17" t="s">
        <v>64</v>
      </c>
      <c r="S46" s="18">
        <v>240000</v>
      </c>
      <c r="AJ46" s="91"/>
    </row>
    <row r="47" spans="1:36" s="17" customFormat="1" ht="15.75" customHeight="1">
      <c r="A47" s="45"/>
      <c r="B47" s="38" t="s">
        <v>65</v>
      </c>
      <c r="C47" s="897">
        <f>+I50</f>
        <v>9360000000</v>
      </c>
      <c r="D47" s="897">
        <v>9360000000</v>
      </c>
      <c r="E47" s="897">
        <f>C47-D47</f>
        <v>0</v>
      </c>
      <c r="F47" s="72" t="s">
        <v>354</v>
      </c>
      <c r="G47" s="106">
        <f>I47/H47</f>
        <v>693333333.3333334</v>
      </c>
      <c r="H47" s="40">
        <v>12</v>
      </c>
      <c r="I47" s="107">
        <v>8320000000</v>
      </c>
      <c r="J47" s="48"/>
      <c r="K47" s="27"/>
      <c r="L47" s="64"/>
      <c r="M47" s="62"/>
      <c r="N47" s="62"/>
      <c r="O47" s="18"/>
      <c r="P47" s="17" t="s">
        <v>66</v>
      </c>
      <c r="Q47" s="19">
        <v>82316600</v>
      </c>
      <c r="S47" s="18">
        <f>SUM(S9:S46)</f>
        <v>8879877164</v>
      </c>
      <c r="U47" s="18"/>
      <c r="AJ47" s="91"/>
    </row>
    <row r="48" spans="1:36" s="17" customFormat="1" ht="15.75" customHeight="1">
      <c r="A48" s="45"/>
      <c r="B48" s="46"/>
      <c r="C48" s="901"/>
      <c r="D48" s="901"/>
      <c r="E48" s="901"/>
      <c r="F48" s="73" t="s">
        <v>67</v>
      </c>
      <c r="G48" s="108">
        <f>I48/H48</f>
        <v>3333333.3333333335</v>
      </c>
      <c r="H48" s="48">
        <v>12</v>
      </c>
      <c r="I48" s="109">
        <v>40000000</v>
      </c>
      <c r="J48" s="48"/>
      <c r="K48" s="27"/>
      <c r="L48" s="62"/>
      <c r="M48" s="62"/>
      <c r="N48" s="62"/>
      <c r="O48" s="18"/>
      <c r="P48" s="17" t="s">
        <v>46</v>
      </c>
      <c r="Q48" s="19">
        <v>73016132</v>
      </c>
      <c r="S48" s="18"/>
      <c r="AJ48" s="91"/>
    </row>
    <row r="49" spans="1:36" s="17" customFormat="1" ht="15.75" customHeight="1">
      <c r="A49" s="45"/>
      <c r="B49" s="46"/>
      <c r="C49" s="901"/>
      <c r="D49" s="901"/>
      <c r="E49" s="901"/>
      <c r="F49" s="73" t="s">
        <v>68</v>
      </c>
      <c r="G49" s="108">
        <f>I49/H49</f>
        <v>83333333.33333333</v>
      </c>
      <c r="H49" s="48">
        <v>12</v>
      </c>
      <c r="I49" s="109">
        <v>1000000000</v>
      </c>
      <c r="J49" s="48"/>
      <c r="K49" s="27"/>
      <c r="L49" s="62"/>
      <c r="M49" s="62"/>
      <c r="N49" s="62"/>
      <c r="O49" s="18"/>
      <c r="Q49" s="19">
        <f>SUM(Q9:Q48)</f>
        <v>2134430369</v>
      </c>
      <c r="S49" s="18"/>
      <c r="AJ49" s="91"/>
    </row>
    <row r="50" spans="1:36" s="17" customFormat="1" ht="15.75" customHeight="1">
      <c r="A50" s="52"/>
      <c r="B50" s="53"/>
      <c r="C50" s="900"/>
      <c r="D50" s="900"/>
      <c r="E50" s="900"/>
      <c r="F50" s="54" t="s">
        <v>69</v>
      </c>
      <c r="G50" s="55"/>
      <c r="H50" s="55"/>
      <c r="I50" s="110">
        <f>SUM(I47:I49)</f>
        <v>9360000000</v>
      </c>
      <c r="J50" s="56"/>
      <c r="K50" s="27"/>
      <c r="L50" s="18"/>
      <c r="M50" s="18"/>
      <c r="N50" s="18"/>
      <c r="O50" s="18"/>
      <c r="Q50" s="19"/>
      <c r="S50" s="18"/>
      <c r="AJ50" s="91"/>
    </row>
    <row r="51" spans="1:36" s="17" customFormat="1" ht="15.75" customHeight="1">
      <c r="A51" s="74" t="s">
        <v>70</v>
      </c>
      <c r="B51" s="75"/>
      <c r="C51" s="903">
        <f>SUM(C52+C54)</f>
        <v>3145000000</v>
      </c>
      <c r="D51" s="903">
        <f>SUM(D52+D54)</f>
        <v>2045000000</v>
      </c>
      <c r="E51" s="903">
        <f>C51-D51</f>
        <v>1100000000</v>
      </c>
      <c r="F51" s="993"/>
      <c r="G51" s="993"/>
      <c r="H51" s="993"/>
      <c r="I51" s="994"/>
      <c r="J51" s="76"/>
      <c r="K51" s="27"/>
      <c r="L51" s="18"/>
      <c r="M51" s="18"/>
      <c r="N51" s="18"/>
      <c r="O51" s="18"/>
      <c r="Q51" s="19"/>
      <c r="S51" s="18"/>
      <c r="U51" s="28"/>
      <c r="AJ51" s="91"/>
    </row>
    <row r="52" spans="1:36" s="17" customFormat="1" ht="15.75" customHeight="1">
      <c r="A52" s="29" t="s">
        <v>71</v>
      </c>
      <c r="B52" s="30"/>
      <c r="C52" s="896">
        <f>SUM(C53)</f>
        <v>0</v>
      </c>
      <c r="D52" s="896">
        <f>SUM(D53)</f>
        <v>0</v>
      </c>
      <c r="E52" s="896">
        <f>C52-D52</f>
        <v>0</v>
      </c>
      <c r="F52" s="993"/>
      <c r="G52" s="993"/>
      <c r="H52" s="993"/>
      <c r="I52" s="994"/>
      <c r="J52" s="76"/>
      <c r="K52" s="27"/>
      <c r="L52" s="18"/>
      <c r="M52" s="18"/>
      <c r="N52" s="18"/>
      <c r="O52" s="18"/>
      <c r="P52" s="18"/>
      <c r="R52" s="19"/>
      <c r="T52" s="18"/>
      <c r="AJ52" s="91"/>
    </row>
    <row r="53" spans="1:36" s="17" customFormat="1" ht="29.25" customHeight="1">
      <c r="A53" s="29"/>
      <c r="B53" s="30" t="s">
        <v>72</v>
      </c>
      <c r="C53" s="896"/>
      <c r="D53" s="896">
        <v>0</v>
      </c>
      <c r="E53" s="896">
        <f>C53-D53</f>
        <v>0</v>
      </c>
      <c r="F53" s="995"/>
      <c r="G53" s="996"/>
      <c r="H53" s="996"/>
      <c r="I53" s="997"/>
      <c r="J53" s="77"/>
      <c r="L53" s="18"/>
      <c r="M53" s="18"/>
      <c r="N53" s="18"/>
      <c r="O53" s="18"/>
      <c r="P53" s="18"/>
      <c r="R53" s="19"/>
      <c r="T53" s="18"/>
      <c r="AJ53" s="91"/>
    </row>
    <row r="54" spans="1:36" s="17" customFormat="1" ht="15.75" customHeight="1">
      <c r="A54" s="29" t="s">
        <v>73</v>
      </c>
      <c r="B54" s="30"/>
      <c r="C54" s="896">
        <f>SUM(C55:C63)</f>
        <v>3145000000</v>
      </c>
      <c r="D54" s="896">
        <f>SUM(D55:D63)</f>
        <v>2045000000</v>
      </c>
      <c r="E54" s="896">
        <f>C54-D54</f>
        <v>1100000000</v>
      </c>
      <c r="F54" s="31"/>
      <c r="G54" s="70"/>
      <c r="H54" s="70"/>
      <c r="I54" s="71"/>
      <c r="J54" s="62"/>
      <c r="L54" s="18"/>
      <c r="M54" s="18"/>
      <c r="N54" s="18"/>
      <c r="O54" s="18"/>
      <c r="P54" s="18"/>
      <c r="R54" s="19"/>
      <c r="T54" s="18"/>
      <c r="AJ54" s="91"/>
    </row>
    <row r="55" spans="1:36" s="17" customFormat="1" ht="15.75" customHeight="1">
      <c r="A55" s="37"/>
      <c r="B55" s="38" t="s">
        <v>74</v>
      </c>
      <c r="C55" s="897">
        <f>+H62</f>
        <v>3145000000</v>
      </c>
      <c r="D55" s="897">
        <v>2045000000</v>
      </c>
      <c r="E55" s="897">
        <f>C55-D55</f>
        <v>1100000000</v>
      </c>
      <c r="F55" s="78" t="s">
        <v>344</v>
      </c>
      <c r="G55" s="64"/>
      <c r="H55" s="121"/>
      <c r="I55" s="111">
        <v>1700000000</v>
      </c>
      <c r="J55" s="62"/>
      <c r="K55" s="17">
        <v>961530</v>
      </c>
      <c r="L55" s="18"/>
      <c r="M55" s="18"/>
      <c r="N55" s="18"/>
      <c r="O55" s="18"/>
      <c r="P55" s="18"/>
      <c r="R55" s="19"/>
      <c r="T55" s="18"/>
      <c r="AJ55" s="91"/>
    </row>
    <row r="56" spans="1:36" s="17" customFormat="1" ht="15.75" customHeight="1">
      <c r="A56" s="45"/>
      <c r="B56" s="46"/>
      <c r="C56" s="901"/>
      <c r="D56" s="901"/>
      <c r="E56" s="901"/>
      <c r="F56" s="78" t="s">
        <v>343</v>
      </c>
      <c r="G56" s="62"/>
      <c r="H56" s="122"/>
      <c r="I56" s="112">
        <v>55000000</v>
      </c>
      <c r="J56" s="62"/>
      <c r="L56" s="18"/>
      <c r="M56" s="18"/>
      <c r="N56" s="18"/>
      <c r="O56" s="18"/>
      <c r="P56" s="18"/>
      <c r="R56" s="19"/>
      <c r="T56" s="18"/>
      <c r="AJ56" s="91"/>
    </row>
    <row r="57" spans="1:36" s="17" customFormat="1" ht="15.75" customHeight="1">
      <c r="A57" s="45"/>
      <c r="B57" s="46"/>
      <c r="C57" s="901"/>
      <c r="D57" s="901"/>
      <c r="E57" s="901"/>
      <c r="F57" s="78" t="s">
        <v>345</v>
      </c>
      <c r="G57" s="62"/>
      <c r="H57" s="122"/>
      <c r="I57" s="112">
        <v>100000000</v>
      </c>
      <c r="J57" s="62"/>
      <c r="L57" s="18"/>
      <c r="M57" s="18"/>
      <c r="N57" s="18"/>
      <c r="O57" s="18"/>
      <c r="P57" s="18"/>
      <c r="R57" s="19"/>
      <c r="T57" s="18"/>
      <c r="AJ57" s="91"/>
    </row>
    <row r="58" spans="1:36" s="17" customFormat="1" ht="15.75" customHeight="1">
      <c r="A58" s="45"/>
      <c r="B58" s="46"/>
      <c r="C58" s="901"/>
      <c r="D58" s="901"/>
      <c r="E58" s="901"/>
      <c r="F58" s="78" t="s">
        <v>347</v>
      </c>
      <c r="G58" s="62"/>
      <c r="H58" s="122"/>
      <c r="I58" s="112">
        <v>90000000</v>
      </c>
      <c r="J58" s="62"/>
      <c r="L58" s="18"/>
      <c r="M58" s="18"/>
      <c r="N58" s="18"/>
      <c r="O58" s="18"/>
      <c r="P58" s="18"/>
      <c r="R58" s="19"/>
      <c r="T58" s="18"/>
      <c r="AJ58" s="91"/>
    </row>
    <row r="59" spans="1:36" s="17" customFormat="1" ht="15.75" customHeight="1">
      <c r="A59" s="45"/>
      <c r="B59" s="46"/>
      <c r="C59" s="901"/>
      <c r="D59" s="901"/>
      <c r="E59" s="901"/>
      <c r="F59" s="78" t="s">
        <v>346</v>
      </c>
      <c r="G59" s="62"/>
      <c r="H59" s="122"/>
      <c r="I59" s="112">
        <v>70000000</v>
      </c>
      <c r="J59" s="62"/>
      <c r="L59" s="18"/>
      <c r="M59" s="18"/>
      <c r="N59" s="18"/>
      <c r="O59" s="18"/>
      <c r="P59" s="18"/>
      <c r="R59" s="19"/>
      <c r="T59" s="18"/>
      <c r="AJ59" s="91"/>
    </row>
    <row r="60" spans="1:36" s="17" customFormat="1" ht="15.75" customHeight="1">
      <c r="A60" s="45"/>
      <c r="B60" s="46"/>
      <c r="C60" s="901"/>
      <c r="D60" s="901"/>
      <c r="E60" s="901"/>
      <c r="F60" s="78" t="s">
        <v>818</v>
      </c>
      <c r="G60" s="62"/>
      <c r="H60" s="122"/>
      <c r="I60" s="112">
        <v>1100000000</v>
      </c>
      <c r="J60" s="62"/>
      <c r="L60" s="18"/>
      <c r="M60" s="18"/>
      <c r="N60" s="18"/>
      <c r="O60" s="18"/>
      <c r="P60" s="18"/>
      <c r="R60" s="19"/>
      <c r="T60" s="18"/>
      <c r="AJ60" s="91"/>
    </row>
    <row r="61" spans="1:36" s="17" customFormat="1" ht="15.75" customHeight="1">
      <c r="A61" s="45"/>
      <c r="B61" s="46"/>
      <c r="C61" s="901"/>
      <c r="D61" s="901"/>
      <c r="E61" s="901"/>
      <c r="F61" s="78" t="s">
        <v>46</v>
      </c>
      <c r="G61" s="62"/>
      <c r="H61" s="122"/>
      <c r="I61" s="112">
        <v>30000000</v>
      </c>
      <c r="J61" s="62"/>
      <c r="L61" s="18"/>
      <c r="M61" s="18"/>
      <c r="N61" s="18"/>
      <c r="O61" s="18"/>
      <c r="P61" s="18"/>
      <c r="R61" s="19"/>
      <c r="T61" s="18"/>
      <c r="U61" s="28"/>
      <c r="AJ61" s="91"/>
    </row>
    <row r="62" spans="1:36" s="17" customFormat="1" ht="15.75" customHeight="1">
      <c r="A62" s="45"/>
      <c r="B62" s="53"/>
      <c r="C62" s="900"/>
      <c r="D62" s="901"/>
      <c r="E62" s="900"/>
      <c r="F62" s="68" t="s">
        <v>75</v>
      </c>
      <c r="G62" s="60"/>
      <c r="H62" s="998">
        <f>+'20년 추경수입(대전)'!H19</f>
        <v>3145000000</v>
      </c>
      <c r="I62" s="999"/>
      <c r="J62" s="69"/>
      <c r="K62" s="28"/>
      <c r="L62" s="18"/>
      <c r="M62" s="18"/>
      <c r="N62" s="18"/>
      <c r="O62" s="18"/>
      <c r="P62" s="18"/>
      <c r="R62" s="19"/>
      <c r="T62" s="18"/>
      <c r="U62" s="28"/>
      <c r="AJ62" s="91"/>
    </row>
    <row r="63" spans="1:36" s="17" customFormat="1" ht="15.75" customHeight="1">
      <c r="A63" s="52"/>
      <c r="B63" s="53" t="s">
        <v>76</v>
      </c>
      <c r="C63" s="900">
        <v>0</v>
      </c>
      <c r="D63" s="896">
        <v>0</v>
      </c>
      <c r="E63" s="900">
        <v>0</v>
      </c>
      <c r="F63" s="59"/>
      <c r="G63" s="60"/>
      <c r="H63" s="60"/>
      <c r="I63" s="61"/>
      <c r="J63" s="62"/>
      <c r="L63" s="18"/>
      <c r="M63" s="18"/>
      <c r="N63" s="18"/>
      <c r="O63" s="18"/>
      <c r="P63" s="18"/>
      <c r="R63" s="19"/>
      <c r="T63" s="18"/>
      <c r="AJ63" s="91"/>
    </row>
    <row r="64" spans="1:36" s="17" customFormat="1" ht="15.75" customHeight="1">
      <c r="A64" s="74" t="s">
        <v>77</v>
      </c>
      <c r="B64" s="75"/>
      <c r="C64" s="903">
        <f>C65+C67+C70</f>
        <v>6572000000</v>
      </c>
      <c r="D64" s="899">
        <f>D65+D67+D70</f>
        <v>7972000000</v>
      </c>
      <c r="E64" s="903">
        <f>C64-D64</f>
        <v>-1400000000</v>
      </c>
      <c r="F64" s="31"/>
      <c r="G64" s="70"/>
      <c r="H64" s="70"/>
      <c r="I64" s="71"/>
      <c r="J64" s="62"/>
      <c r="L64" s="18"/>
      <c r="M64" s="18"/>
      <c r="N64" s="18"/>
      <c r="O64" s="18"/>
      <c r="P64" s="18"/>
      <c r="R64" s="19"/>
      <c r="T64" s="18"/>
      <c r="U64" s="28"/>
      <c r="AJ64" s="91"/>
    </row>
    <row r="65" spans="1:36" s="17" customFormat="1" ht="15.75" customHeight="1">
      <c r="A65" s="29" t="s">
        <v>78</v>
      </c>
      <c r="B65" s="30"/>
      <c r="C65" s="896">
        <f>SUM(C66)</f>
        <v>1972000000</v>
      </c>
      <c r="D65" s="896">
        <f>SUM(D66)</f>
        <v>3372000000</v>
      </c>
      <c r="E65" s="896">
        <v>0</v>
      </c>
      <c r="F65" s="59"/>
      <c r="G65" s="60"/>
      <c r="H65" s="60"/>
      <c r="I65" s="61"/>
      <c r="J65" s="62"/>
      <c r="L65" s="18"/>
      <c r="M65" s="18"/>
      <c r="N65" s="18"/>
      <c r="O65" s="18"/>
      <c r="P65" s="18"/>
      <c r="R65" s="19"/>
      <c r="T65" s="18"/>
      <c r="AJ65" s="91"/>
    </row>
    <row r="66" spans="1:36" s="17" customFormat="1" ht="15.75" customHeight="1" thickBot="1">
      <c r="A66" s="134"/>
      <c r="B66" s="135" t="s">
        <v>79</v>
      </c>
      <c r="C66" s="904">
        <f>+I66</f>
        <v>1972000000</v>
      </c>
      <c r="D66" s="904">
        <v>3372000000</v>
      </c>
      <c r="E66" s="904">
        <f>C66-D66</f>
        <v>-1400000000</v>
      </c>
      <c r="F66" s="136" t="s">
        <v>80</v>
      </c>
      <c r="G66" s="137"/>
      <c r="H66" s="137"/>
      <c r="I66" s="455">
        <f>+'20년 추경수입(대전)'!H34</f>
        <v>1972000000</v>
      </c>
      <c r="J66" s="62"/>
      <c r="L66" s="18"/>
      <c r="M66" s="18"/>
      <c r="N66" s="18"/>
      <c r="O66" s="18"/>
      <c r="P66" s="18"/>
      <c r="R66" s="19"/>
      <c r="T66" s="18"/>
      <c r="AJ66" s="91"/>
    </row>
    <row r="67" spans="1:36" s="17" customFormat="1" ht="15.75" customHeight="1">
      <c r="A67" s="52" t="s">
        <v>81</v>
      </c>
      <c r="B67" s="53"/>
      <c r="C67" s="900">
        <f>SUM(C68:C69)</f>
        <v>3200000000</v>
      </c>
      <c r="D67" s="900">
        <f>SUM(D68:D69)</f>
        <v>2800000000</v>
      </c>
      <c r="E67" s="900">
        <f>SUM(E68:E68)</f>
        <v>400000000</v>
      </c>
      <c r="F67" s="59" t="s">
        <v>20</v>
      </c>
      <c r="G67" s="60"/>
      <c r="H67" s="60"/>
      <c r="I67" s="61"/>
      <c r="J67" s="62"/>
      <c r="L67" s="18"/>
      <c r="M67" s="18"/>
      <c r="N67" s="18"/>
      <c r="O67" s="18"/>
      <c r="P67" s="18"/>
      <c r="R67" s="19"/>
      <c r="T67" s="18"/>
      <c r="AJ67" s="91"/>
    </row>
    <row r="68" spans="1:36" s="17" customFormat="1" ht="15.75" customHeight="1">
      <c r="A68" s="45"/>
      <c r="B68" s="53" t="s">
        <v>82</v>
      </c>
      <c r="C68" s="900">
        <f>+I68</f>
        <v>3200000000</v>
      </c>
      <c r="D68" s="896">
        <v>2800000000</v>
      </c>
      <c r="E68" s="900">
        <f>C68-D68</f>
        <v>400000000</v>
      </c>
      <c r="F68" s="248" t="s">
        <v>842</v>
      </c>
      <c r="G68" s="60"/>
      <c r="H68" s="60"/>
      <c r="I68" s="456">
        <f>+'20년 추경수입(대전)'!H30</f>
        <v>3200000000</v>
      </c>
      <c r="J68" s="62"/>
      <c r="L68" s="18"/>
      <c r="M68" s="18"/>
      <c r="N68" s="18"/>
      <c r="O68" s="18"/>
      <c r="P68" s="18"/>
      <c r="R68" s="19"/>
      <c r="T68" s="18"/>
      <c r="AJ68" s="91"/>
    </row>
    <row r="69" spans="1:36" s="17" customFormat="1" ht="15.75" customHeight="1">
      <c r="A69" s="52"/>
      <c r="B69" s="30" t="s">
        <v>83</v>
      </c>
      <c r="C69" s="896">
        <v>0</v>
      </c>
      <c r="D69" s="896">
        <v>0</v>
      </c>
      <c r="E69" s="896">
        <f>C69-D69</f>
        <v>0</v>
      </c>
      <c r="F69" s="31"/>
      <c r="G69" s="70"/>
      <c r="H69" s="70"/>
      <c r="I69" s="71"/>
      <c r="J69" s="62"/>
      <c r="L69" s="18"/>
      <c r="M69" s="18"/>
      <c r="N69" s="18"/>
      <c r="O69" s="18"/>
      <c r="P69" s="18"/>
      <c r="R69" s="19"/>
      <c r="T69" s="18"/>
      <c r="AJ69" s="91"/>
    </row>
    <row r="70" spans="1:36" s="17" customFormat="1" ht="15.75" customHeight="1">
      <c r="A70" s="29" t="s">
        <v>84</v>
      </c>
      <c r="B70" s="30"/>
      <c r="C70" s="896">
        <f>SUM(C71:C73)</f>
        <v>1400000000</v>
      </c>
      <c r="D70" s="896">
        <f>SUM(D71:D73)</f>
        <v>1800000000</v>
      </c>
      <c r="E70" s="896">
        <f>C70-D70</f>
        <v>-400000000</v>
      </c>
      <c r="F70" s="31"/>
      <c r="G70" s="70"/>
      <c r="H70" s="70"/>
      <c r="I70" s="71"/>
      <c r="J70" s="62"/>
      <c r="L70" s="18"/>
      <c r="M70" s="18"/>
      <c r="N70" s="18"/>
      <c r="O70" s="18"/>
      <c r="P70" s="18"/>
      <c r="R70" s="19"/>
      <c r="T70" s="18"/>
      <c r="AJ70" s="91"/>
    </row>
    <row r="71" spans="1:36" s="17" customFormat="1" ht="15.75" customHeight="1">
      <c r="A71" s="37"/>
      <c r="B71" s="30" t="s">
        <v>85</v>
      </c>
      <c r="C71" s="896">
        <f>+I71</f>
        <v>1400000000</v>
      </c>
      <c r="D71" s="896">
        <v>1800000000</v>
      </c>
      <c r="E71" s="896">
        <f>C71-D71</f>
        <v>-400000000</v>
      </c>
      <c r="F71" s="31" t="s">
        <v>86</v>
      </c>
      <c r="G71" s="937">
        <f>SUM(I71/H71)</f>
        <v>116666666.66666667</v>
      </c>
      <c r="H71" s="70">
        <v>12</v>
      </c>
      <c r="I71" s="457">
        <f>+'20년 추경수입(대전)'!H26</f>
        <v>1400000000</v>
      </c>
      <c r="J71" s="62"/>
      <c r="L71" s="18"/>
      <c r="M71" s="18"/>
      <c r="N71" s="18"/>
      <c r="O71" s="18"/>
      <c r="P71" s="18"/>
      <c r="R71" s="19"/>
      <c r="T71" s="18"/>
      <c r="AJ71" s="91"/>
    </row>
    <row r="72" spans="1:36" s="17" customFormat="1" ht="15.75" customHeight="1">
      <c r="A72" s="45"/>
      <c r="B72" s="30" t="s">
        <v>87</v>
      </c>
      <c r="C72" s="896">
        <v>0</v>
      </c>
      <c r="D72" s="896">
        <v>0</v>
      </c>
      <c r="E72" s="896">
        <v>0</v>
      </c>
      <c r="F72" s="31"/>
      <c r="G72" s="70"/>
      <c r="H72" s="70"/>
      <c r="I72" s="71"/>
      <c r="J72" s="62"/>
      <c r="L72" s="18"/>
      <c r="M72" s="18"/>
      <c r="N72" s="18"/>
      <c r="O72" s="18"/>
      <c r="P72" s="18"/>
      <c r="R72" s="19"/>
      <c r="T72" s="18"/>
      <c r="AJ72" s="91"/>
    </row>
    <row r="73" spans="1:36" s="17" customFormat="1" ht="15.75" customHeight="1">
      <c r="A73" s="52"/>
      <c r="B73" s="30" t="s">
        <v>88</v>
      </c>
      <c r="C73" s="896">
        <f>I73</f>
        <v>0</v>
      </c>
      <c r="D73" s="896">
        <f>J73</f>
        <v>0</v>
      </c>
      <c r="E73" s="897">
        <f>C73-D73</f>
        <v>0</v>
      </c>
      <c r="F73" s="31"/>
      <c r="G73" s="70"/>
      <c r="H73" s="70"/>
      <c r="I73" s="71"/>
      <c r="J73" s="62"/>
      <c r="L73" s="18"/>
      <c r="M73" s="18"/>
      <c r="N73" s="18"/>
      <c r="O73" s="18"/>
      <c r="P73" s="18"/>
      <c r="R73" s="19"/>
      <c r="T73" s="18"/>
      <c r="AJ73" s="91"/>
    </row>
    <row r="74" spans="1:36" s="17" customFormat="1" ht="15.75" customHeight="1">
      <c r="A74" s="74" t="s">
        <v>89</v>
      </c>
      <c r="B74" s="30"/>
      <c r="C74" s="903">
        <f>SUM(C75+C78+C82)</f>
        <v>152000000</v>
      </c>
      <c r="D74" s="903">
        <f>SUM(D75+D78+D82)</f>
        <v>0</v>
      </c>
      <c r="E74" s="903">
        <f>C74-D74</f>
        <v>152000000</v>
      </c>
      <c r="F74" s="31"/>
      <c r="G74" s="70"/>
      <c r="H74" s="70"/>
      <c r="I74" s="71"/>
      <c r="J74" s="62"/>
      <c r="L74" s="18"/>
      <c r="M74" s="18"/>
      <c r="N74" s="18"/>
      <c r="O74" s="18"/>
      <c r="P74" s="18"/>
      <c r="R74" s="19"/>
      <c r="T74" s="18"/>
      <c r="U74" s="28"/>
      <c r="AJ74" s="91"/>
    </row>
    <row r="75" spans="1:36" s="17" customFormat="1" ht="15.75" customHeight="1">
      <c r="A75" s="52" t="s">
        <v>90</v>
      </c>
      <c r="B75" s="53"/>
      <c r="C75" s="900">
        <f>SUM(C76:C77)</f>
        <v>0</v>
      </c>
      <c r="D75" s="900">
        <f>SUM(D76:D77)</f>
        <v>0</v>
      </c>
      <c r="E75" s="897">
        <f>C75-D75</f>
        <v>0</v>
      </c>
      <c r="F75" s="59"/>
      <c r="G75" s="60"/>
      <c r="H75" s="60"/>
      <c r="I75" s="61"/>
      <c r="J75" s="62"/>
      <c r="L75" s="18"/>
      <c r="M75" s="18"/>
      <c r="N75" s="18"/>
      <c r="O75" s="18"/>
      <c r="P75" s="18"/>
      <c r="R75" s="19"/>
      <c r="T75" s="18"/>
      <c r="AJ75" s="91"/>
    </row>
    <row r="76" spans="1:36" s="17" customFormat="1" ht="15.75" customHeight="1">
      <c r="A76" s="37"/>
      <c r="B76" s="30" t="s">
        <v>91</v>
      </c>
      <c r="C76" s="896">
        <f>I76</f>
        <v>0</v>
      </c>
      <c r="D76" s="896">
        <f>J76</f>
        <v>0</v>
      </c>
      <c r="E76" s="897">
        <f>C76-D76</f>
        <v>0</v>
      </c>
      <c r="F76" s="31"/>
      <c r="G76" s="70"/>
      <c r="H76" s="70"/>
      <c r="I76" s="71"/>
      <c r="J76" s="62"/>
      <c r="L76" s="18"/>
      <c r="M76" s="18"/>
      <c r="N76" s="18"/>
      <c r="O76" s="18"/>
      <c r="P76" s="18"/>
      <c r="R76" s="19"/>
      <c r="T76" s="18"/>
      <c r="AJ76" s="91"/>
    </row>
    <row r="77" spans="1:36" s="17" customFormat="1" ht="15.75" customHeight="1">
      <c r="A77" s="52"/>
      <c r="B77" s="30" t="s">
        <v>93</v>
      </c>
      <c r="C77" s="896">
        <v>0</v>
      </c>
      <c r="D77" s="896">
        <v>0</v>
      </c>
      <c r="E77" s="896">
        <v>0</v>
      </c>
      <c r="F77" s="31" t="s">
        <v>20</v>
      </c>
      <c r="G77" s="70"/>
      <c r="H77" s="70"/>
      <c r="I77" s="71"/>
      <c r="J77" s="62"/>
      <c r="L77" s="18"/>
      <c r="M77" s="18"/>
      <c r="N77" s="18"/>
      <c r="O77" s="18"/>
      <c r="P77" s="18"/>
      <c r="R77" s="19"/>
      <c r="T77" s="18"/>
      <c r="AJ77" s="91"/>
    </row>
    <row r="78" spans="1:36" s="17" customFormat="1" ht="15.75" customHeight="1">
      <c r="A78" s="52" t="s">
        <v>94</v>
      </c>
      <c r="B78" s="53"/>
      <c r="C78" s="900">
        <f>SUM(C79:C81)</f>
        <v>0</v>
      </c>
      <c r="D78" s="900">
        <f>SUM(D79:D81)</f>
        <v>0</v>
      </c>
      <c r="E78" s="900">
        <v>0</v>
      </c>
      <c r="F78" s="59" t="s">
        <v>20</v>
      </c>
      <c r="G78" s="60"/>
      <c r="H78" s="60"/>
      <c r="I78" s="61"/>
      <c r="J78" s="62"/>
      <c r="L78" s="18"/>
      <c r="M78" s="18"/>
      <c r="N78" s="18"/>
      <c r="O78" s="18"/>
      <c r="P78" s="18"/>
      <c r="R78" s="19"/>
      <c r="T78" s="18"/>
      <c r="AJ78" s="91"/>
    </row>
    <row r="79" spans="1:36" s="17" customFormat="1" ht="15.75" customHeight="1">
      <c r="A79" s="37"/>
      <c r="B79" s="30" t="s">
        <v>95</v>
      </c>
      <c r="C79" s="896">
        <v>0</v>
      </c>
      <c r="D79" s="896">
        <v>0</v>
      </c>
      <c r="E79" s="896">
        <v>0</v>
      </c>
      <c r="F79" s="31"/>
      <c r="G79" s="70"/>
      <c r="H79" s="70"/>
      <c r="I79" s="71"/>
      <c r="J79" s="62"/>
      <c r="L79" s="18"/>
      <c r="M79" s="18"/>
      <c r="N79" s="18"/>
      <c r="O79" s="18"/>
      <c r="P79" s="18"/>
      <c r="R79" s="19"/>
      <c r="T79" s="18"/>
      <c r="AJ79" s="91"/>
    </row>
    <row r="80" spans="1:36" s="17" customFormat="1" ht="15.75" customHeight="1">
      <c r="A80" s="45"/>
      <c r="B80" s="30" t="s">
        <v>96</v>
      </c>
      <c r="C80" s="896">
        <v>0</v>
      </c>
      <c r="D80" s="896">
        <v>0</v>
      </c>
      <c r="E80" s="896">
        <v>0</v>
      </c>
      <c r="F80" s="31" t="s">
        <v>20</v>
      </c>
      <c r="G80" s="70"/>
      <c r="H80" s="70"/>
      <c r="I80" s="71"/>
      <c r="J80" s="62"/>
      <c r="L80" s="18"/>
      <c r="M80" s="18"/>
      <c r="N80" s="18"/>
      <c r="O80" s="18"/>
      <c r="P80" s="18"/>
      <c r="R80" s="19"/>
      <c r="T80" s="18"/>
      <c r="AJ80" s="91"/>
    </row>
    <row r="81" spans="1:36" s="17" customFormat="1" ht="15.75" customHeight="1">
      <c r="A81" s="52"/>
      <c r="B81" s="30" t="s">
        <v>97</v>
      </c>
      <c r="C81" s="896">
        <v>0</v>
      </c>
      <c r="D81" s="896">
        <v>0</v>
      </c>
      <c r="E81" s="896">
        <v>0</v>
      </c>
      <c r="F81" s="31" t="s">
        <v>20</v>
      </c>
      <c r="G81" s="70"/>
      <c r="H81" s="70"/>
      <c r="I81" s="71"/>
      <c r="J81" s="62"/>
      <c r="L81" s="18"/>
      <c r="M81" s="18"/>
      <c r="N81" s="18"/>
      <c r="O81" s="18"/>
      <c r="P81" s="18"/>
      <c r="R81" s="19"/>
      <c r="T81" s="18"/>
      <c r="AJ81" s="91"/>
    </row>
    <row r="82" spans="1:36" s="17" customFormat="1" ht="15.75" customHeight="1">
      <c r="A82" s="52" t="s">
        <v>98</v>
      </c>
      <c r="B82" s="53"/>
      <c r="C82" s="900">
        <f>SUM(C83:C85)</f>
        <v>152000000</v>
      </c>
      <c r="D82" s="900">
        <f>SUM(D83:D85)</f>
        <v>0</v>
      </c>
      <c r="E82" s="900">
        <v>0</v>
      </c>
      <c r="F82" s="59"/>
      <c r="G82" s="60"/>
      <c r="H82" s="60"/>
      <c r="I82" s="61"/>
      <c r="J82" s="62"/>
      <c r="L82" s="18"/>
      <c r="M82" s="18"/>
      <c r="N82" s="18"/>
      <c r="O82" s="18"/>
      <c r="P82" s="18"/>
      <c r="R82" s="19"/>
      <c r="T82" s="18"/>
      <c r="AJ82" s="91"/>
    </row>
    <row r="83" spans="1:36" s="17" customFormat="1" ht="15.75" customHeight="1">
      <c r="A83" s="37"/>
      <c r="B83" s="30" t="s">
        <v>99</v>
      </c>
      <c r="C83" s="896">
        <v>0</v>
      </c>
      <c r="D83" s="896">
        <v>0</v>
      </c>
      <c r="E83" s="896">
        <v>0</v>
      </c>
      <c r="F83" s="31"/>
      <c r="G83" s="70"/>
      <c r="H83" s="70"/>
      <c r="I83" s="71"/>
      <c r="J83" s="62"/>
      <c r="L83" s="18"/>
      <c r="M83" s="18"/>
      <c r="N83" s="18"/>
      <c r="O83" s="18"/>
      <c r="P83" s="18"/>
      <c r="R83" s="19"/>
      <c r="T83" s="18"/>
      <c r="AJ83" s="91"/>
    </row>
    <row r="84" spans="1:36" s="817" customFormat="1" ht="15.75" customHeight="1">
      <c r="A84" s="821"/>
      <c r="B84" s="820" t="s">
        <v>100</v>
      </c>
      <c r="C84" s="896">
        <v>152000000</v>
      </c>
      <c r="D84" s="896">
        <v>0</v>
      </c>
      <c r="E84" s="897">
        <v>152000000</v>
      </c>
      <c r="F84" s="822" t="s">
        <v>1057</v>
      </c>
      <c r="G84" s="823"/>
      <c r="H84" s="823"/>
      <c r="I84" s="826">
        <v>152000000</v>
      </c>
      <c r="J84" s="824"/>
      <c r="L84" s="818"/>
      <c r="M84" s="818"/>
      <c r="N84" s="818"/>
      <c r="O84" s="818"/>
      <c r="P84" s="818"/>
      <c r="R84" s="819"/>
      <c r="T84" s="818"/>
      <c r="AJ84" s="825"/>
    </row>
    <row r="85" spans="1:36" s="17" customFormat="1" ht="15.75" customHeight="1">
      <c r="A85" s="45"/>
      <c r="B85" s="38" t="s">
        <v>101</v>
      </c>
      <c r="C85" s="897">
        <v>0</v>
      </c>
      <c r="D85" s="897">
        <v>0</v>
      </c>
      <c r="E85" s="897">
        <v>0</v>
      </c>
      <c r="F85" s="82"/>
      <c r="G85" s="64" t="s">
        <v>92</v>
      </c>
      <c r="H85" s="64"/>
      <c r="I85" s="65"/>
      <c r="J85" s="62"/>
      <c r="L85" s="18"/>
      <c r="M85" s="18"/>
      <c r="N85" s="18"/>
      <c r="O85" s="18"/>
      <c r="P85" s="18"/>
      <c r="R85" s="19"/>
      <c r="T85" s="18"/>
      <c r="AJ85" s="91"/>
    </row>
    <row r="86" spans="1:36" s="17" customFormat="1" ht="15.75" customHeight="1">
      <c r="A86" s="74" t="s">
        <v>102</v>
      </c>
      <c r="B86" s="75"/>
      <c r="C86" s="903">
        <f>SUM(C87)</f>
        <v>0</v>
      </c>
      <c r="D86" s="903">
        <f>SUM(D87)</f>
        <v>0</v>
      </c>
      <c r="E86" s="903">
        <f>C86-D86</f>
        <v>0</v>
      </c>
      <c r="F86" s="31"/>
      <c r="G86" s="70"/>
      <c r="H86" s="70"/>
      <c r="I86" s="71"/>
      <c r="J86" s="62"/>
      <c r="L86" s="18"/>
      <c r="M86" s="18"/>
      <c r="N86" s="18"/>
      <c r="O86" s="18"/>
      <c r="P86" s="18"/>
      <c r="R86" s="19"/>
      <c r="T86" s="18"/>
      <c r="AJ86" s="91"/>
    </row>
    <row r="87" spans="1:36" s="17" customFormat="1" ht="15.75" customHeight="1">
      <c r="A87" s="29" t="s">
        <v>103</v>
      </c>
      <c r="B87" s="30"/>
      <c r="C87" s="896">
        <f>SUM(C88:C92)</f>
        <v>0</v>
      </c>
      <c r="D87" s="896">
        <f>SUM(D88:D92)</f>
        <v>0</v>
      </c>
      <c r="E87" s="896">
        <f>C87-D87</f>
        <v>0</v>
      </c>
      <c r="F87" s="31"/>
      <c r="G87" s="70"/>
      <c r="H87" s="70"/>
      <c r="I87" s="71"/>
      <c r="J87" s="62"/>
      <c r="L87" s="18"/>
      <c r="M87" s="18"/>
      <c r="N87" s="18"/>
      <c r="O87" s="18"/>
      <c r="P87" s="18"/>
      <c r="R87" s="19"/>
      <c r="T87" s="18"/>
      <c r="AJ87" s="91"/>
    </row>
    <row r="88" spans="1:36" s="17" customFormat="1" ht="15.75" customHeight="1">
      <c r="A88" s="37"/>
      <c r="B88" s="30" t="s">
        <v>104</v>
      </c>
      <c r="C88" s="896">
        <f>I88</f>
        <v>0</v>
      </c>
      <c r="D88" s="896">
        <f>J88</f>
        <v>0</v>
      </c>
      <c r="E88" s="896">
        <f>C88-D88</f>
        <v>0</v>
      </c>
      <c r="F88" s="31"/>
      <c r="G88" s="70"/>
      <c r="H88" s="70"/>
      <c r="I88" s="71"/>
      <c r="J88" s="62"/>
      <c r="L88" s="18"/>
      <c r="M88" s="18"/>
      <c r="N88" s="18"/>
      <c r="O88" s="18"/>
      <c r="P88" s="18"/>
      <c r="R88" s="19"/>
      <c r="T88" s="18"/>
      <c r="AJ88" s="91"/>
    </row>
    <row r="89" spans="1:36" s="17" customFormat="1" ht="15.75" customHeight="1">
      <c r="A89" s="45"/>
      <c r="B89" s="30" t="s">
        <v>105</v>
      </c>
      <c r="C89" s="896">
        <v>0</v>
      </c>
      <c r="D89" s="896">
        <v>0</v>
      </c>
      <c r="E89" s="896">
        <v>0</v>
      </c>
      <c r="F89" s="31"/>
      <c r="G89" s="70"/>
      <c r="H89" s="70"/>
      <c r="I89" s="71"/>
      <c r="J89" s="62"/>
      <c r="L89" s="18"/>
      <c r="M89" s="18"/>
      <c r="N89" s="18"/>
      <c r="O89" s="18"/>
      <c r="P89" s="18"/>
      <c r="R89" s="19"/>
      <c r="T89" s="18"/>
      <c r="AJ89" s="91"/>
    </row>
    <row r="90" spans="1:36" s="17" customFormat="1" ht="15.75" customHeight="1">
      <c r="A90" s="45"/>
      <c r="B90" s="30" t="s">
        <v>106</v>
      </c>
      <c r="C90" s="896">
        <v>0</v>
      </c>
      <c r="D90" s="896">
        <f>J90</f>
        <v>0</v>
      </c>
      <c r="E90" s="896">
        <f>C90-D90</f>
        <v>0</v>
      </c>
      <c r="F90" s="31"/>
      <c r="G90" s="70"/>
      <c r="H90" s="70"/>
      <c r="I90" s="71"/>
      <c r="J90" s="62"/>
      <c r="L90" s="18"/>
      <c r="M90" s="18"/>
      <c r="N90" s="18"/>
      <c r="O90" s="18"/>
      <c r="P90" s="18"/>
      <c r="R90" s="19"/>
      <c r="T90" s="18"/>
      <c r="AJ90" s="91"/>
    </row>
    <row r="91" spans="1:36" s="17" customFormat="1" ht="15.75" customHeight="1">
      <c r="A91" s="45"/>
      <c r="B91" s="53" t="s">
        <v>107</v>
      </c>
      <c r="C91" s="900">
        <v>0</v>
      </c>
      <c r="D91" s="900">
        <v>0</v>
      </c>
      <c r="E91" s="896">
        <f>C91-D91</f>
        <v>0</v>
      </c>
      <c r="F91" s="59"/>
      <c r="G91" s="60"/>
      <c r="H91" s="60"/>
      <c r="I91" s="61"/>
      <c r="J91" s="62"/>
      <c r="L91" s="18"/>
      <c r="M91" s="18"/>
      <c r="N91" s="18"/>
      <c r="O91" s="18"/>
      <c r="P91" s="18"/>
      <c r="R91" s="19"/>
      <c r="T91" s="18"/>
      <c r="AJ91" s="91"/>
    </row>
    <row r="92" spans="1:36" s="17" customFormat="1" ht="15.75" customHeight="1">
      <c r="A92" s="52"/>
      <c r="B92" s="30" t="s">
        <v>108</v>
      </c>
      <c r="C92" s="896">
        <v>0</v>
      </c>
      <c r="D92" s="896">
        <f>J92</f>
        <v>0</v>
      </c>
      <c r="E92" s="896">
        <f>C92-D92</f>
        <v>0</v>
      </c>
      <c r="F92" s="31"/>
      <c r="G92" s="60"/>
      <c r="H92" s="60"/>
      <c r="I92" s="61"/>
      <c r="J92" s="62"/>
      <c r="L92" s="18"/>
      <c r="M92" s="18"/>
      <c r="N92" s="18"/>
      <c r="O92" s="18"/>
      <c r="P92" s="18"/>
      <c r="R92" s="19"/>
      <c r="T92" s="18"/>
      <c r="AJ92" s="91"/>
    </row>
    <row r="93" spans="1:36" s="17" customFormat="1" ht="15.75" customHeight="1">
      <c r="A93" s="74" t="s">
        <v>109</v>
      </c>
      <c r="B93" s="30"/>
      <c r="C93" s="903">
        <f>SUM(C94)</f>
        <v>0</v>
      </c>
      <c r="D93" s="903">
        <f>SUM(D94)</f>
        <v>0</v>
      </c>
      <c r="E93" s="903">
        <v>0</v>
      </c>
      <c r="F93" s="31"/>
      <c r="G93" s="70"/>
      <c r="H93" s="70"/>
      <c r="I93" s="71"/>
      <c r="J93" s="62"/>
      <c r="L93" s="18"/>
      <c r="M93" s="18"/>
      <c r="N93" s="18"/>
      <c r="O93" s="18"/>
      <c r="P93" s="18"/>
      <c r="R93" s="19"/>
      <c r="T93" s="18"/>
      <c r="AJ93" s="91"/>
    </row>
    <row r="94" spans="1:36" s="17" customFormat="1" ht="15.75" customHeight="1">
      <c r="A94" s="52" t="s">
        <v>110</v>
      </c>
      <c r="B94" s="53"/>
      <c r="C94" s="900">
        <f>SUM(C95)</f>
        <v>0</v>
      </c>
      <c r="D94" s="900">
        <f>SUM(D95)</f>
        <v>0</v>
      </c>
      <c r="E94" s="900">
        <v>0</v>
      </c>
      <c r="F94" s="59"/>
      <c r="G94" s="60"/>
      <c r="H94" s="60"/>
      <c r="I94" s="61"/>
      <c r="J94" s="62"/>
      <c r="L94" s="18"/>
      <c r="M94" s="18"/>
      <c r="N94" s="18"/>
      <c r="O94" s="18"/>
      <c r="P94" s="18"/>
      <c r="R94" s="19"/>
      <c r="T94" s="18"/>
      <c r="AJ94" s="91"/>
    </row>
    <row r="95" spans="1:36" s="17" customFormat="1" ht="15.75" customHeight="1">
      <c r="A95" s="52"/>
      <c r="B95" s="53" t="s">
        <v>111</v>
      </c>
      <c r="C95" s="900">
        <v>0</v>
      </c>
      <c r="D95" s="900">
        <v>0</v>
      </c>
      <c r="E95" s="900">
        <v>0</v>
      </c>
      <c r="F95" s="59" t="s">
        <v>92</v>
      </c>
      <c r="G95" s="60"/>
      <c r="H95" s="60"/>
      <c r="I95" s="61" t="s">
        <v>92</v>
      </c>
      <c r="J95" s="62"/>
      <c r="L95" s="18"/>
      <c r="M95" s="18"/>
      <c r="N95" s="18"/>
      <c r="O95" s="18"/>
      <c r="P95" s="18"/>
      <c r="R95" s="19"/>
      <c r="T95" s="18"/>
      <c r="AJ95" s="91"/>
    </row>
    <row r="96" spans="1:36" s="17" customFormat="1" ht="15.75" customHeight="1">
      <c r="A96" s="83" t="s">
        <v>112</v>
      </c>
      <c r="B96" s="84"/>
      <c r="C96" s="899">
        <f>SUM(C97+C100)</f>
        <v>0</v>
      </c>
      <c r="D96" s="899">
        <f>SUM(D97+D100)</f>
        <v>0</v>
      </c>
      <c r="E96" s="899">
        <f>C96-D96</f>
        <v>0</v>
      </c>
      <c r="F96" s="59"/>
      <c r="G96" s="60"/>
      <c r="H96" s="60"/>
      <c r="I96" s="61"/>
      <c r="J96" s="62"/>
      <c r="L96" s="18"/>
      <c r="M96" s="18"/>
      <c r="N96" s="18"/>
      <c r="O96" s="18"/>
      <c r="P96" s="18"/>
      <c r="R96" s="19"/>
      <c r="T96" s="18"/>
      <c r="AJ96" s="91"/>
    </row>
    <row r="97" spans="1:36" s="17" customFormat="1" ht="15.75" customHeight="1">
      <c r="A97" s="37" t="s">
        <v>113</v>
      </c>
      <c r="B97" s="30"/>
      <c r="C97" s="896">
        <f>SUM(C98:C99)</f>
        <v>0</v>
      </c>
      <c r="D97" s="896">
        <f>SUM(D98:D99)</f>
        <v>0</v>
      </c>
      <c r="E97" s="896">
        <f>C97-D97</f>
        <v>0</v>
      </c>
      <c r="F97" s="31"/>
      <c r="G97" s="70"/>
      <c r="H97" s="70"/>
      <c r="I97" s="71"/>
      <c r="J97" s="62"/>
      <c r="L97" s="18"/>
      <c r="M97" s="18"/>
      <c r="N97" s="18"/>
      <c r="O97" s="18"/>
      <c r="P97" s="18"/>
      <c r="R97" s="19"/>
      <c r="T97" s="18"/>
      <c r="AJ97" s="91"/>
    </row>
    <row r="98" spans="1:36" s="17" customFormat="1" ht="15.75" customHeight="1">
      <c r="A98" s="45"/>
      <c r="B98" s="53" t="s">
        <v>114</v>
      </c>
      <c r="C98" s="900"/>
      <c r="D98" s="905">
        <v>0</v>
      </c>
      <c r="E98" s="900">
        <f>C98-D98</f>
        <v>0</v>
      </c>
      <c r="F98" s="59"/>
      <c r="G98" s="60"/>
      <c r="H98" s="60"/>
      <c r="I98" s="61"/>
      <c r="J98" s="62"/>
      <c r="L98" s="18"/>
      <c r="M98" s="18"/>
      <c r="N98" s="18"/>
      <c r="O98" s="18"/>
      <c r="P98" s="18"/>
      <c r="R98" s="19"/>
      <c r="T98" s="18"/>
      <c r="AJ98" s="91"/>
    </row>
    <row r="99" spans="1:36" s="17" customFormat="1" ht="15.75" customHeight="1" thickBot="1">
      <c r="A99" s="128"/>
      <c r="B99" s="135" t="s">
        <v>115</v>
      </c>
      <c r="C99" s="904">
        <v>0</v>
      </c>
      <c r="D99" s="904">
        <v>0</v>
      </c>
      <c r="E99" s="904">
        <v>0</v>
      </c>
      <c r="F99" s="136"/>
      <c r="G99" s="137"/>
      <c r="H99" s="137"/>
      <c r="I99" s="138"/>
      <c r="J99" s="62"/>
      <c r="L99" s="18"/>
      <c r="M99" s="18"/>
      <c r="N99" s="18"/>
      <c r="O99" s="18"/>
      <c r="P99" s="18"/>
      <c r="R99" s="19"/>
      <c r="T99" s="18"/>
      <c r="AJ99" s="91"/>
    </row>
    <row r="100" spans="1:36" s="17" customFormat="1" ht="15.75" customHeight="1">
      <c r="A100" s="52" t="s">
        <v>116</v>
      </c>
      <c r="B100" s="53"/>
      <c r="C100" s="900">
        <f>SUM(C101:C101)</f>
        <v>0</v>
      </c>
      <c r="D100" s="900">
        <f>SUM(D101:D101)</f>
        <v>0</v>
      </c>
      <c r="E100" s="900">
        <f aca="true" t="shared" si="7" ref="E100:E106">C100-D100</f>
        <v>0</v>
      </c>
      <c r="F100" s="59"/>
      <c r="G100" s="60"/>
      <c r="H100" s="60"/>
      <c r="I100" s="61"/>
      <c r="J100" s="62"/>
      <c r="L100" s="18"/>
      <c r="M100" s="18"/>
      <c r="N100" s="18"/>
      <c r="O100" s="18"/>
      <c r="P100" s="18"/>
      <c r="R100" s="19"/>
      <c r="T100" s="18"/>
      <c r="AJ100" s="91"/>
    </row>
    <row r="101" spans="1:36" s="17" customFormat="1" ht="15.75" customHeight="1">
      <c r="A101" s="52"/>
      <c r="B101" s="53" t="s">
        <v>117</v>
      </c>
      <c r="C101" s="900">
        <f>+I101</f>
        <v>0</v>
      </c>
      <c r="D101" s="896">
        <v>0</v>
      </c>
      <c r="E101" s="900">
        <f t="shared" si="7"/>
        <v>0</v>
      </c>
      <c r="F101" s="59"/>
      <c r="G101" s="60"/>
      <c r="H101" s="60"/>
      <c r="I101" s="61">
        <f>+'20년 추경수입(대전)'!H49</f>
        <v>0</v>
      </c>
      <c r="J101" s="62"/>
      <c r="L101" s="18"/>
      <c r="M101" s="18"/>
      <c r="N101" s="18"/>
      <c r="O101" s="18"/>
      <c r="P101" s="18"/>
      <c r="R101" s="19"/>
      <c r="T101" s="18"/>
      <c r="AJ101" s="91"/>
    </row>
    <row r="102" spans="1:36" s="17" customFormat="1" ht="15.75" customHeight="1">
      <c r="A102" s="83" t="s">
        <v>118</v>
      </c>
      <c r="B102" s="84"/>
      <c r="C102" s="899">
        <f>SUM(C103)</f>
        <v>0</v>
      </c>
      <c r="D102" s="899">
        <f>SUM(D103)</f>
        <v>0</v>
      </c>
      <c r="E102" s="899">
        <f t="shared" si="7"/>
        <v>0</v>
      </c>
      <c r="F102" s="59"/>
      <c r="G102" s="60"/>
      <c r="H102" s="60"/>
      <c r="I102" s="61"/>
      <c r="J102" s="62"/>
      <c r="L102" s="18"/>
      <c r="M102" s="18"/>
      <c r="N102" s="18"/>
      <c r="O102" s="18"/>
      <c r="P102" s="18"/>
      <c r="R102" s="19"/>
      <c r="T102" s="18"/>
      <c r="AJ102" s="91"/>
    </row>
    <row r="103" spans="1:36" s="17" customFormat="1" ht="15.75" customHeight="1">
      <c r="A103" s="29" t="s">
        <v>574</v>
      </c>
      <c r="B103" s="30"/>
      <c r="C103" s="896">
        <f>SUM(C104)</f>
        <v>0</v>
      </c>
      <c r="D103" s="896">
        <f>SUM(D104)</f>
        <v>0</v>
      </c>
      <c r="E103" s="900">
        <f t="shared" si="7"/>
        <v>0</v>
      </c>
      <c r="F103" s="31"/>
      <c r="G103" s="70"/>
      <c r="H103" s="70"/>
      <c r="I103" s="71"/>
      <c r="J103" s="62"/>
      <c r="L103" s="18"/>
      <c r="M103" s="18"/>
      <c r="N103" s="18"/>
      <c r="O103" s="18"/>
      <c r="P103" s="18"/>
      <c r="R103" s="19"/>
      <c r="T103" s="18"/>
      <c r="AJ103" s="91"/>
    </row>
    <row r="104" spans="1:36" s="17" customFormat="1" ht="30" customHeight="1">
      <c r="A104" s="37"/>
      <c r="B104" s="38" t="s">
        <v>575</v>
      </c>
      <c r="C104" s="897"/>
      <c r="D104" s="897">
        <v>0</v>
      </c>
      <c r="E104" s="900">
        <f t="shared" si="7"/>
        <v>0</v>
      </c>
      <c r="F104" s="1006"/>
      <c r="G104" s="1007"/>
      <c r="H104" s="1007"/>
      <c r="I104" s="1008"/>
      <c r="J104" s="62"/>
      <c r="L104" s="18"/>
      <c r="M104" s="18"/>
      <c r="N104" s="18"/>
      <c r="O104" s="18"/>
      <c r="P104" s="18"/>
      <c r="R104" s="19"/>
      <c r="T104" s="18"/>
      <c r="AJ104" s="91"/>
    </row>
    <row r="105" spans="1:36" s="17" customFormat="1" ht="15.75" customHeight="1">
      <c r="A105" s="85" t="s">
        <v>119</v>
      </c>
      <c r="B105" s="86"/>
      <c r="C105" s="906">
        <f>+H105</f>
        <v>121447947840</v>
      </c>
      <c r="D105" s="906">
        <v>87867496560</v>
      </c>
      <c r="E105" s="906">
        <f t="shared" si="7"/>
        <v>33580451280</v>
      </c>
      <c r="F105" s="24" t="s">
        <v>563</v>
      </c>
      <c r="G105" s="87"/>
      <c r="H105" s="1043">
        <f>+'20년 추경수입(대전)'!H51</f>
        <v>121447947840</v>
      </c>
      <c r="I105" s="1044"/>
      <c r="J105" s="62"/>
      <c r="L105" s="18"/>
      <c r="M105" s="18"/>
      <c r="N105" s="18"/>
      <c r="O105" s="18"/>
      <c r="P105" s="18"/>
      <c r="R105" s="19"/>
      <c r="T105" s="18"/>
      <c r="AJ105" s="91"/>
    </row>
    <row r="106" spans="1:36" s="17" customFormat="1" ht="15.75" customHeight="1">
      <c r="A106" s="88" t="s">
        <v>120</v>
      </c>
      <c r="B106" s="89"/>
      <c r="C106" s="907">
        <f>C7+C51+C64+C74+C86+C93+C96+C102+C105</f>
        <v>339468451279.54004</v>
      </c>
      <c r="D106" s="907">
        <f>D7+D51+D64+D74+D86+D93+D96+D102+D105</f>
        <v>306036000000</v>
      </c>
      <c r="E106" s="907">
        <f t="shared" si="7"/>
        <v>33432451279.54004</v>
      </c>
      <c r="F106" s="79"/>
      <c r="G106" s="80"/>
      <c r="H106" s="80"/>
      <c r="I106" s="81"/>
      <c r="J106" s="62"/>
      <c r="L106" s="18"/>
      <c r="M106" s="18"/>
      <c r="N106" s="18"/>
      <c r="O106" s="18"/>
      <c r="P106" s="18"/>
      <c r="R106" s="19"/>
      <c r="T106" s="18"/>
      <c r="AJ106" s="91"/>
    </row>
    <row r="107" spans="1:2" ht="13.5">
      <c r="A107" s="10"/>
      <c r="B107" s="10"/>
    </row>
    <row r="108" spans="1:2" ht="13.5">
      <c r="A108" s="10"/>
      <c r="B108" s="10"/>
    </row>
    <row r="109" spans="1:4" ht="13.5">
      <c r="A109" s="10"/>
      <c r="B109" s="10"/>
      <c r="C109" s="120"/>
      <c r="D109" s="120"/>
    </row>
    <row r="113" ht="13.5">
      <c r="D113" s="90">
        <v>317743000000</v>
      </c>
    </row>
    <row r="114" ht="13.5">
      <c r="D114" s="90">
        <f>+D106-D113</f>
        <v>-11707000000</v>
      </c>
    </row>
  </sheetData>
  <sheetProtection/>
  <mergeCells count="30">
    <mergeCell ref="A1:I1"/>
    <mergeCell ref="A2:I2"/>
    <mergeCell ref="C5:C6"/>
    <mergeCell ref="D5:D6"/>
    <mergeCell ref="E5:E6"/>
    <mergeCell ref="F5:I6"/>
    <mergeCell ref="H62:I62"/>
    <mergeCell ref="H105:I105"/>
    <mergeCell ref="F51:I51"/>
    <mergeCell ref="F52:I52"/>
    <mergeCell ref="F53:I53"/>
    <mergeCell ref="F104:I104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5:Y45"/>
    <mergeCell ref="X39:Y39"/>
    <mergeCell ref="X40:Y40"/>
    <mergeCell ref="X41:Y41"/>
    <mergeCell ref="X42:Y42"/>
    <mergeCell ref="X43:Y43"/>
    <mergeCell ref="X44:Y44"/>
  </mergeCells>
  <printOptions horizontalCentered="1"/>
  <pageMargins left="0.35433070866141736" right="0.35433070866141736" top="0.5905511811023623" bottom="0.5905511811023623" header="0.5118110236220472" footer="0.5118110236220472"/>
  <pageSetup fitToHeight="4" horizontalDpi="600" verticalDpi="600" orientation="portrait" paperSize="8" scale="90" r:id="rId3"/>
  <rowBreaks count="1" manualBreakCount="1">
    <brk id="6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6"/>
  <sheetViews>
    <sheetView showGridLines="0" view="pageBreakPreview" zoomScaleSheetLayoutView="100" zoomScalePageLayoutView="0" workbookViewId="0" topLeftCell="A1">
      <pane xSplit="2" ySplit="4" topLeftCell="C15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E108" sqref="E108"/>
    </sheetView>
  </sheetViews>
  <sheetFormatPr defaultColWidth="8.88671875" defaultRowHeight="13.5"/>
  <cols>
    <col min="1" max="1" width="19.4453125" style="143" customWidth="1"/>
    <col min="2" max="2" width="17.6640625" style="143" customWidth="1"/>
    <col min="3" max="5" width="19.3359375" style="144" customWidth="1"/>
    <col min="6" max="6" width="14.99609375" style="143" customWidth="1"/>
    <col min="7" max="7" width="9.77734375" style="144" customWidth="1"/>
    <col min="8" max="8" width="7.77734375" style="143" customWidth="1"/>
    <col min="9" max="9" width="16.10546875" style="143" bestFit="1" customWidth="1"/>
    <col min="10" max="10" width="14.4453125" style="145" hidden="1" customWidth="1"/>
    <col min="11" max="11" width="12.99609375" style="146" hidden="1" customWidth="1"/>
    <col min="12" max="12" width="15.4453125" style="146" bestFit="1" customWidth="1"/>
    <col min="13" max="13" width="18.5546875" style="143" customWidth="1"/>
    <col min="14" max="14" width="10.21484375" style="146" customWidth="1"/>
    <col min="15" max="15" width="18.88671875" style="143" customWidth="1"/>
    <col min="16" max="16" width="14.21484375" style="143" customWidth="1"/>
    <col min="17" max="17" width="11.77734375" style="143" customWidth="1"/>
    <col min="18" max="16384" width="8.88671875" style="143" customWidth="1"/>
  </cols>
  <sheetData>
    <row r="1" spans="1:5" ht="21" customHeight="1">
      <c r="A1" s="140" t="s">
        <v>817</v>
      </c>
      <c r="B1" s="141"/>
      <c r="C1" s="142"/>
      <c r="D1" s="142"/>
      <c r="E1" s="142"/>
    </row>
    <row r="2" spans="1:14" s="147" customFormat="1" ht="21" customHeight="1">
      <c r="A2" s="147" t="s">
        <v>585</v>
      </c>
      <c r="C2" s="148"/>
      <c r="D2" s="148"/>
      <c r="E2" s="148"/>
      <c r="F2" s="149"/>
      <c r="G2" s="148"/>
      <c r="H2" s="150"/>
      <c r="I2" s="151" t="s">
        <v>589</v>
      </c>
      <c r="J2" s="152"/>
      <c r="K2" s="153"/>
      <c r="L2" s="153"/>
      <c r="N2" s="153"/>
    </row>
    <row r="3" spans="1:14" s="147" customFormat="1" ht="15" customHeight="1">
      <c r="A3" s="154" t="s">
        <v>121</v>
      </c>
      <c r="B3" s="155" t="s">
        <v>122</v>
      </c>
      <c r="C3" s="1034" t="s">
        <v>260</v>
      </c>
      <c r="D3" s="1034" t="s">
        <v>261</v>
      </c>
      <c r="E3" s="1034" t="s">
        <v>123</v>
      </c>
      <c r="F3" s="1036" t="s">
        <v>1</v>
      </c>
      <c r="G3" s="1036"/>
      <c r="H3" s="1036"/>
      <c r="I3" s="1037"/>
      <c r="J3" s="1040" t="s">
        <v>124</v>
      </c>
      <c r="K3" s="153"/>
      <c r="L3" s="153"/>
      <c r="N3" s="153"/>
    </row>
    <row r="4" spans="1:14" s="147" customFormat="1" ht="15" customHeight="1">
      <c r="A4" s="156" t="s">
        <v>2</v>
      </c>
      <c r="B4" s="157" t="s">
        <v>3</v>
      </c>
      <c r="C4" s="1035"/>
      <c r="D4" s="1035"/>
      <c r="E4" s="1035"/>
      <c r="F4" s="1038"/>
      <c r="G4" s="1038"/>
      <c r="H4" s="1038"/>
      <c r="I4" s="1039"/>
      <c r="J4" s="1040"/>
      <c r="K4" s="153"/>
      <c r="L4" s="153"/>
      <c r="N4" s="153"/>
    </row>
    <row r="5" spans="1:15" s="147" customFormat="1" ht="15.75" customHeight="1">
      <c r="A5" s="158" t="s">
        <v>125</v>
      </c>
      <c r="B5" s="159"/>
      <c r="C5" s="908">
        <f>SUM(C6+C15)</f>
        <v>78052200000.25</v>
      </c>
      <c r="D5" s="908">
        <f>SUM(D6+D15)</f>
        <v>75096000000</v>
      </c>
      <c r="E5" s="908">
        <f>C5-D5</f>
        <v>2956200000.25</v>
      </c>
      <c r="F5" s="160"/>
      <c r="G5" s="161"/>
      <c r="H5" s="162"/>
      <c r="I5" s="163"/>
      <c r="J5" s="152"/>
      <c r="K5" s="153"/>
      <c r="L5" s="153"/>
      <c r="N5" s="153"/>
      <c r="O5" s="150"/>
    </row>
    <row r="6" spans="1:15" s="147" customFormat="1" ht="15.75" customHeight="1">
      <c r="A6" s="164" t="s">
        <v>126</v>
      </c>
      <c r="B6" s="165"/>
      <c r="C6" s="909">
        <f>SUM(C7:C14)</f>
        <v>7800000000</v>
      </c>
      <c r="D6" s="910">
        <v>7800000000</v>
      </c>
      <c r="E6" s="909">
        <f>C6-D6</f>
        <v>0</v>
      </c>
      <c r="F6" s="166"/>
      <c r="G6" s="167"/>
      <c r="H6" s="168"/>
      <c r="I6" s="169"/>
      <c r="J6" s="152"/>
      <c r="K6" s="153"/>
      <c r="L6" s="153"/>
      <c r="N6" s="153"/>
      <c r="O6" s="150"/>
    </row>
    <row r="7" spans="1:14" s="147" customFormat="1" ht="15.75" customHeight="1">
      <c r="A7" s="170"/>
      <c r="B7" s="165" t="s">
        <v>127</v>
      </c>
      <c r="C7" s="909">
        <v>0</v>
      </c>
      <c r="D7" s="910">
        <v>0</v>
      </c>
      <c r="E7" s="909">
        <f>C7-D7</f>
        <v>0</v>
      </c>
      <c r="F7" s="166" t="s">
        <v>20</v>
      </c>
      <c r="G7" s="167"/>
      <c r="H7" s="168"/>
      <c r="I7" s="169"/>
      <c r="J7" s="152"/>
      <c r="K7" s="153"/>
      <c r="L7" s="153"/>
      <c r="N7" s="153"/>
    </row>
    <row r="8" spans="1:14" s="147" customFormat="1" ht="15.75" customHeight="1">
      <c r="A8" s="171"/>
      <c r="B8" s="165" t="s">
        <v>128</v>
      </c>
      <c r="C8" s="909">
        <v>0</v>
      </c>
      <c r="D8" s="910">
        <v>0</v>
      </c>
      <c r="E8" s="909">
        <f>C8-D8</f>
        <v>0</v>
      </c>
      <c r="F8" s="166" t="s">
        <v>20</v>
      </c>
      <c r="G8" s="167"/>
      <c r="H8" s="168"/>
      <c r="I8" s="169"/>
      <c r="J8" s="152"/>
      <c r="K8" s="153"/>
      <c r="L8" s="153"/>
      <c r="N8" s="153"/>
    </row>
    <row r="9" spans="1:14" s="147" customFormat="1" ht="15.75" customHeight="1">
      <c r="A9" s="171"/>
      <c r="B9" s="165" t="s">
        <v>129</v>
      </c>
      <c r="C9" s="909">
        <f>+I9</f>
        <v>7800000000</v>
      </c>
      <c r="D9" s="910">
        <v>7800000000</v>
      </c>
      <c r="E9" s="909">
        <f>C9-D9</f>
        <v>0</v>
      </c>
      <c r="F9" s="166" t="s">
        <v>130</v>
      </c>
      <c r="G9" s="459">
        <f>I9/H9</f>
        <v>650000000</v>
      </c>
      <c r="H9" s="168">
        <v>12</v>
      </c>
      <c r="I9" s="458">
        <f>+'20년 추경지출(대전)'!H11</f>
        <v>7800000000</v>
      </c>
      <c r="J9" s="152">
        <f>D9*3%</f>
        <v>234000000</v>
      </c>
      <c r="K9" s="153"/>
      <c r="L9" s="153"/>
      <c r="N9" s="153"/>
    </row>
    <row r="10" spans="1:14" s="147" customFormat="1" ht="15.75" customHeight="1">
      <c r="A10" s="171"/>
      <c r="B10" s="165" t="s">
        <v>131</v>
      </c>
      <c r="C10" s="909">
        <v>0</v>
      </c>
      <c r="D10" s="910">
        <v>0</v>
      </c>
      <c r="E10" s="909">
        <f>C10-D10</f>
        <v>0</v>
      </c>
      <c r="F10" s="166" t="s">
        <v>132</v>
      </c>
      <c r="G10" s="167" t="s">
        <v>132</v>
      </c>
      <c r="H10" s="168" t="s">
        <v>132</v>
      </c>
      <c r="I10" s="169"/>
      <c r="J10" s="152"/>
      <c r="K10" s="153"/>
      <c r="L10" s="153"/>
      <c r="N10" s="153"/>
    </row>
    <row r="11" spans="1:14" s="147" customFormat="1" ht="15.75" customHeight="1">
      <c r="A11" s="171"/>
      <c r="B11" s="165" t="s">
        <v>133</v>
      </c>
      <c r="C11" s="909">
        <v>0</v>
      </c>
      <c r="D11" s="910">
        <v>0</v>
      </c>
      <c r="E11" s="909">
        <f>C11-D11</f>
        <v>0</v>
      </c>
      <c r="F11" s="166"/>
      <c r="G11" s="167"/>
      <c r="H11" s="168"/>
      <c r="I11" s="169"/>
      <c r="J11" s="152"/>
      <c r="K11" s="153"/>
      <c r="L11" s="153"/>
      <c r="N11" s="153"/>
    </row>
    <row r="12" spans="1:14" s="147" customFormat="1" ht="15.75" customHeight="1">
      <c r="A12" s="171"/>
      <c r="B12" s="165" t="s">
        <v>134</v>
      </c>
      <c r="C12" s="909">
        <v>0</v>
      </c>
      <c r="D12" s="910">
        <v>0</v>
      </c>
      <c r="E12" s="909">
        <f>C12-D12</f>
        <v>0</v>
      </c>
      <c r="F12" s="166"/>
      <c r="G12" s="167"/>
      <c r="H12" s="168"/>
      <c r="I12" s="169"/>
      <c r="J12" s="152"/>
      <c r="K12" s="153"/>
      <c r="L12" s="153"/>
      <c r="N12" s="153"/>
    </row>
    <row r="13" spans="1:14" s="147" customFormat="1" ht="15.75" customHeight="1">
      <c r="A13" s="171"/>
      <c r="B13" s="165" t="s">
        <v>135</v>
      </c>
      <c r="C13" s="909">
        <v>0</v>
      </c>
      <c r="D13" s="910">
        <v>0</v>
      </c>
      <c r="E13" s="909">
        <f>C13-D13</f>
        <v>0</v>
      </c>
      <c r="F13" s="166"/>
      <c r="G13" s="167"/>
      <c r="H13" s="168"/>
      <c r="I13" s="169"/>
      <c r="J13" s="152"/>
      <c r="K13" s="153"/>
      <c r="L13" s="153"/>
      <c r="N13" s="153"/>
    </row>
    <row r="14" spans="1:14" s="147" customFormat="1" ht="15.75" customHeight="1">
      <c r="A14" s="171"/>
      <c r="B14" s="165" t="s">
        <v>136</v>
      </c>
      <c r="C14" s="909">
        <v>0</v>
      </c>
      <c r="D14" s="910">
        <v>0</v>
      </c>
      <c r="E14" s="909">
        <f>C14-D14</f>
        <v>0</v>
      </c>
      <c r="F14" s="166"/>
      <c r="G14" s="167"/>
      <c r="H14" s="168"/>
      <c r="I14" s="169"/>
      <c r="J14" s="152"/>
      <c r="K14" s="153"/>
      <c r="L14" s="153"/>
      <c r="N14" s="153"/>
    </row>
    <row r="15" spans="1:14" s="147" customFormat="1" ht="15.75" customHeight="1">
      <c r="A15" s="164" t="s">
        <v>137</v>
      </c>
      <c r="B15" s="165"/>
      <c r="C15" s="909">
        <f>SUM(C16:C21)</f>
        <v>70252200000.25</v>
      </c>
      <c r="D15" s="910">
        <f>SUM(D16:D21)</f>
        <v>67296000000</v>
      </c>
      <c r="E15" s="909">
        <f aca="true" t="shared" si="0" ref="E15:E24">C15-D15</f>
        <v>2956200000.25</v>
      </c>
      <c r="F15" s="166"/>
      <c r="G15" s="167"/>
      <c r="H15" s="168"/>
      <c r="I15" s="169"/>
      <c r="J15" s="152"/>
      <c r="K15" s="153"/>
      <c r="L15" s="153"/>
      <c r="N15" s="153"/>
    </row>
    <row r="16" spans="1:14" s="147" customFormat="1" ht="15.75" customHeight="1">
      <c r="A16" s="172"/>
      <c r="B16" s="165" t="s">
        <v>138</v>
      </c>
      <c r="C16" s="909">
        <f>+I16</f>
        <v>28020000000</v>
      </c>
      <c r="D16" s="910">
        <v>26352800000</v>
      </c>
      <c r="E16" s="909">
        <f t="shared" si="0"/>
        <v>1667200000</v>
      </c>
      <c r="F16" s="166" t="s">
        <v>304</v>
      </c>
      <c r="G16" s="459">
        <f aca="true" t="shared" si="1" ref="G16:G21">I16/H16</f>
        <v>2335000000</v>
      </c>
      <c r="H16" s="168">
        <v>12</v>
      </c>
      <c r="I16" s="458">
        <f>+'20년 추경지출(대전)'!H19</f>
        <v>28020000000</v>
      </c>
      <c r="J16" s="173"/>
      <c r="K16" s="174"/>
      <c r="L16" s="153"/>
      <c r="N16" s="153"/>
    </row>
    <row r="17" spans="1:14" s="147" customFormat="1" ht="15.75" customHeight="1">
      <c r="A17" s="171"/>
      <c r="B17" s="165" t="s">
        <v>139</v>
      </c>
      <c r="C17" s="909">
        <f>+I17</f>
        <v>7272000000</v>
      </c>
      <c r="D17" s="910">
        <v>7272000000</v>
      </c>
      <c r="E17" s="909">
        <f t="shared" si="0"/>
        <v>0</v>
      </c>
      <c r="F17" s="166" t="s">
        <v>305</v>
      </c>
      <c r="G17" s="459">
        <f t="shared" si="1"/>
        <v>606000000</v>
      </c>
      <c r="H17" s="168">
        <v>12</v>
      </c>
      <c r="I17" s="458">
        <f>+'20년 추경지출(대전)'!H20</f>
        <v>7272000000</v>
      </c>
      <c r="J17" s="173"/>
      <c r="K17" s="175"/>
      <c r="L17" s="153"/>
      <c r="N17" s="153"/>
    </row>
    <row r="18" spans="1:14" s="147" customFormat="1" ht="15.75" customHeight="1">
      <c r="A18" s="176"/>
      <c r="B18" s="165" t="s">
        <v>140</v>
      </c>
      <c r="C18" s="909">
        <f>+I18</f>
        <v>26530200000</v>
      </c>
      <c r="D18" s="910">
        <v>26530200000</v>
      </c>
      <c r="E18" s="909">
        <f t="shared" si="0"/>
        <v>0</v>
      </c>
      <c r="F18" s="166" t="s">
        <v>306</v>
      </c>
      <c r="G18" s="459">
        <f t="shared" si="1"/>
        <v>2210850000</v>
      </c>
      <c r="H18" s="168">
        <v>12</v>
      </c>
      <c r="I18" s="458">
        <f>+'20년 추경지출(대전)'!H21</f>
        <v>26530200000</v>
      </c>
      <c r="J18" s="173"/>
      <c r="K18" s="175"/>
      <c r="L18" s="153"/>
      <c r="N18" s="153"/>
    </row>
    <row r="19" spans="1:14" s="147" customFormat="1" ht="15.75" customHeight="1">
      <c r="A19" s="176"/>
      <c r="B19" s="165" t="s">
        <v>141</v>
      </c>
      <c r="C19" s="909">
        <f>+I19</f>
        <v>2868000000.25</v>
      </c>
      <c r="D19" s="910">
        <v>6516000000</v>
      </c>
      <c r="E19" s="909">
        <f t="shared" si="0"/>
        <v>-3647999999.75</v>
      </c>
      <c r="F19" s="166" t="s">
        <v>843</v>
      </c>
      <c r="G19" s="459">
        <f t="shared" si="1"/>
        <v>239000000.02083334</v>
      </c>
      <c r="H19" s="168">
        <v>12</v>
      </c>
      <c r="I19" s="458">
        <f>+'20년 추경지출(대전)'!H22</f>
        <v>2868000000.25</v>
      </c>
      <c r="J19" s="173"/>
      <c r="K19" s="177"/>
      <c r="L19" s="153"/>
      <c r="N19" s="153"/>
    </row>
    <row r="20" spans="1:14" s="147" customFormat="1" ht="15.75" customHeight="1">
      <c r="A20" s="171"/>
      <c r="B20" s="165" t="s">
        <v>142</v>
      </c>
      <c r="C20" s="909">
        <f>+I20</f>
        <v>30000000</v>
      </c>
      <c r="D20" s="910">
        <v>30000000</v>
      </c>
      <c r="E20" s="909">
        <f t="shared" si="0"/>
        <v>0</v>
      </c>
      <c r="F20" s="166" t="s">
        <v>307</v>
      </c>
      <c r="G20" s="459">
        <f t="shared" si="1"/>
        <v>2500000</v>
      </c>
      <c r="H20" s="168">
        <v>12</v>
      </c>
      <c r="I20" s="458">
        <f>+'20년 추경지출(대전)'!H23</f>
        <v>30000000</v>
      </c>
      <c r="J20" s="173"/>
      <c r="K20" s="177"/>
      <c r="L20" s="153"/>
      <c r="N20" s="153"/>
    </row>
    <row r="21" spans="1:14" s="147" customFormat="1" ht="15.75" customHeight="1">
      <c r="A21" s="178"/>
      <c r="B21" s="165" t="s">
        <v>143</v>
      </c>
      <c r="C21" s="909">
        <f>+I21</f>
        <v>5532000000</v>
      </c>
      <c r="D21" s="910">
        <v>595000000</v>
      </c>
      <c r="E21" s="909">
        <f t="shared" si="0"/>
        <v>4937000000</v>
      </c>
      <c r="F21" s="166"/>
      <c r="G21" s="459">
        <f t="shared" si="1"/>
        <v>461000000</v>
      </c>
      <c r="H21" s="168">
        <v>12</v>
      </c>
      <c r="I21" s="458">
        <f>+'20년 추경지출(대전)'!H24</f>
        <v>5532000000</v>
      </c>
      <c r="J21" s="173"/>
      <c r="K21" s="177"/>
      <c r="L21" s="153"/>
      <c r="N21" s="153"/>
    </row>
    <row r="22" spans="1:15" s="147" customFormat="1" ht="15.75" customHeight="1">
      <c r="A22" s="179" t="s">
        <v>144</v>
      </c>
      <c r="B22" s="180"/>
      <c r="C22" s="911">
        <f>SUM(C23+C48+C80+C101)</f>
        <v>91441000000</v>
      </c>
      <c r="D22" s="911">
        <f>SUM(D23+D48+D80+D101)</f>
        <v>91376000000</v>
      </c>
      <c r="E22" s="911">
        <f t="shared" si="0"/>
        <v>65000000</v>
      </c>
      <c r="F22" s="181"/>
      <c r="G22" s="460"/>
      <c r="H22" s="182"/>
      <c r="I22" s="473"/>
      <c r="J22" s="152"/>
      <c r="K22" s="153"/>
      <c r="L22" s="153"/>
      <c r="N22" s="153"/>
      <c r="O22" s="150"/>
    </row>
    <row r="23" spans="1:14" s="147" customFormat="1" ht="15.75" customHeight="1">
      <c r="A23" s="164" t="s">
        <v>338</v>
      </c>
      <c r="B23" s="165"/>
      <c r="C23" s="909">
        <f>SUM(C24:C47)</f>
        <v>13788000000</v>
      </c>
      <c r="D23" s="910">
        <f>+D24+D28+D34+D41+D42+D47</f>
        <v>13788000000</v>
      </c>
      <c r="E23" s="909">
        <f t="shared" si="0"/>
        <v>0</v>
      </c>
      <c r="F23" s="166"/>
      <c r="G23" s="459"/>
      <c r="H23" s="168"/>
      <c r="I23" s="458"/>
      <c r="J23" s="152"/>
      <c r="K23" s="153"/>
      <c r="L23" s="153"/>
      <c r="N23" s="153"/>
    </row>
    <row r="24" spans="1:14" s="147" customFormat="1" ht="15.75" customHeight="1">
      <c r="A24" s="172"/>
      <c r="B24" s="183" t="s">
        <v>145</v>
      </c>
      <c r="C24" s="912">
        <f>+I27</f>
        <v>500000000</v>
      </c>
      <c r="D24" s="913">
        <v>500000000</v>
      </c>
      <c r="E24" s="912">
        <f t="shared" si="0"/>
        <v>0</v>
      </c>
      <c r="F24" s="184" t="s">
        <v>146</v>
      </c>
      <c r="G24" s="190">
        <f>I24/H24</f>
        <v>6133333.333333333</v>
      </c>
      <c r="H24" s="185">
        <v>12</v>
      </c>
      <c r="I24" s="474">
        <v>73600000</v>
      </c>
      <c r="J24" s="152">
        <f>D24*3%</f>
        <v>15000000</v>
      </c>
      <c r="K24" s="153"/>
      <c r="L24" s="1028" t="s">
        <v>564</v>
      </c>
      <c r="N24" s="153"/>
    </row>
    <row r="25" spans="1:14" s="147" customFormat="1" ht="15.75" customHeight="1">
      <c r="A25" s="176"/>
      <c r="B25" s="186"/>
      <c r="C25" s="914"/>
      <c r="D25" s="915"/>
      <c r="E25" s="914"/>
      <c r="F25" s="187" t="s">
        <v>291</v>
      </c>
      <c r="G25" s="190">
        <f>I25/H25</f>
        <v>1100000</v>
      </c>
      <c r="H25" s="188">
        <v>12</v>
      </c>
      <c r="I25" s="191">
        <v>13200000</v>
      </c>
      <c r="J25" s="152">
        <v>644765</v>
      </c>
      <c r="K25" s="153"/>
      <c r="L25" s="1029"/>
      <c r="N25" s="153"/>
    </row>
    <row r="26" spans="1:14" s="147" customFormat="1" ht="15.75" customHeight="1">
      <c r="A26" s="176"/>
      <c r="B26" s="186"/>
      <c r="C26" s="914"/>
      <c r="D26" s="915"/>
      <c r="E26" s="914"/>
      <c r="F26" s="187" t="s">
        <v>292</v>
      </c>
      <c r="G26" s="190">
        <f>I26/H26</f>
        <v>34433333.333333336</v>
      </c>
      <c r="H26" s="188">
        <v>12</v>
      </c>
      <c r="I26" s="191">
        <f>315200000+98000000</f>
        <v>413200000</v>
      </c>
      <c r="J26" s="152"/>
      <c r="K26" s="153"/>
      <c r="L26" s="1029"/>
      <c r="N26" s="153"/>
    </row>
    <row r="27" spans="1:14" s="147" customFormat="1" ht="15.75" customHeight="1">
      <c r="A27" s="176"/>
      <c r="B27" s="186"/>
      <c r="C27" s="914"/>
      <c r="D27" s="915"/>
      <c r="E27" s="916"/>
      <c r="F27" s="187" t="s">
        <v>147</v>
      </c>
      <c r="G27" s="190"/>
      <c r="H27" s="188"/>
      <c r="I27" s="205">
        <f>SUM(I24:I26)</f>
        <v>500000000</v>
      </c>
      <c r="J27" s="152"/>
      <c r="K27" s="153"/>
      <c r="L27" s="1029"/>
      <c r="N27" s="153"/>
    </row>
    <row r="28" spans="1:14" s="147" customFormat="1" ht="15.75" customHeight="1">
      <c r="A28" s="176"/>
      <c r="B28" s="183" t="s">
        <v>148</v>
      </c>
      <c r="C28" s="912">
        <f>+I31</f>
        <v>3737000000</v>
      </c>
      <c r="D28" s="917">
        <v>3737000000</v>
      </c>
      <c r="E28" s="912">
        <f>C28-D28</f>
        <v>0</v>
      </c>
      <c r="F28" s="184" t="s">
        <v>149</v>
      </c>
      <c r="G28" s="189">
        <f>I28/H28</f>
        <v>250750000</v>
      </c>
      <c r="H28" s="185">
        <v>12</v>
      </c>
      <c r="I28" s="474">
        <v>3009000000</v>
      </c>
      <c r="J28" s="152">
        <f>D28*3%</f>
        <v>112110000</v>
      </c>
      <c r="K28" s="153"/>
      <c r="L28" s="1029"/>
      <c r="N28" s="153"/>
    </row>
    <row r="29" spans="1:14" s="147" customFormat="1" ht="15.75" customHeight="1">
      <c r="A29" s="171"/>
      <c r="B29" s="186"/>
      <c r="C29" s="914"/>
      <c r="D29" s="915"/>
      <c r="E29" s="914">
        <f>C29-D29</f>
        <v>0</v>
      </c>
      <c r="F29" s="187" t="s">
        <v>150</v>
      </c>
      <c r="G29" s="190">
        <f>I29/H29</f>
        <v>26666666.666666668</v>
      </c>
      <c r="H29" s="188">
        <v>12</v>
      </c>
      <c r="I29" s="191">
        <v>320000000</v>
      </c>
      <c r="J29" s="152"/>
      <c r="K29" s="153"/>
      <c r="L29" s="1029"/>
      <c r="N29" s="153"/>
    </row>
    <row r="30" spans="1:14" s="147" customFormat="1" ht="15.75" customHeight="1">
      <c r="A30" s="171"/>
      <c r="B30" s="186"/>
      <c r="C30" s="914"/>
      <c r="D30" s="915"/>
      <c r="E30" s="914">
        <f>C30-D30</f>
        <v>0</v>
      </c>
      <c r="F30" s="187" t="s">
        <v>151</v>
      </c>
      <c r="G30" s="190">
        <f>I30/H30</f>
        <v>34000000</v>
      </c>
      <c r="H30" s="188">
        <v>12</v>
      </c>
      <c r="I30" s="191">
        <v>408000000</v>
      </c>
      <c r="J30" s="152"/>
      <c r="K30" s="153"/>
      <c r="L30" s="1029"/>
      <c r="N30" s="153"/>
    </row>
    <row r="31" spans="1:14" s="147" customFormat="1" ht="15.75" customHeight="1">
      <c r="A31" s="171"/>
      <c r="B31" s="192"/>
      <c r="C31" s="916"/>
      <c r="D31" s="918"/>
      <c r="E31" s="916">
        <f>C31-D31</f>
        <v>0</v>
      </c>
      <c r="F31" s="193" t="s">
        <v>147</v>
      </c>
      <c r="G31" s="460"/>
      <c r="H31" s="182"/>
      <c r="I31" s="194">
        <f>SUM(I28:I30)</f>
        <v>3737000000</v>
      </c>
      <c r="J31" s="152"/>
      <c r="K31" s="153"/>
      <c r="L31" s="1029"/>
      <c r="N31" s="153"/>
    </row>
    <row r="32" spans="1:14" s="147" customFormat="1" ht="15.75" customHeight="1">
      <c r="A32" s="171"/>
      <c r="B32" s="165" t="s">
        <v>152</v>
      </c>
      <c r="C32" s="909">
        <f>+I32</f>
        <v>0</v>
      </c>
      <c r="D32" s="910">
        <v>0</v>
      </c>
      <c r="E32" s="909">
        <f>C32-D32</f>
        <v>0</v>
      </c>
      <c r="F32" s="166"/>
      <c r="G32" s="460"/>
      <c r="H32" s="168"/>
      <c r="I32" s="458"/>
      <c r="J32" s="152"/>
      <c r="K32" s="153"/>
      <c r="L32" s="1029"/>
      <c r="N32" s="153"/>
    </row>
    <row r="33" spans="1:14" s="147" customFormat="1" ht="15.75" customHeight="1">
      <c r="A33" s="171"/>
      <c r="B33" s="165" t="s">
        <v>153</v>
      </c>
      <c r="C33" s="909">
        <f>+I33</f>
        <v>0</v>
      </c>
      <c r="D33" s="917">
        <v>0</v>
      </c>
      <c r="E33" s="909">
        <f>C33-D33</f>
        <v>0</v>
      </c>
      <c r="F33" s="166"/>
      <c r="G33" s="459"/>
      <c r="H33" s="168"/>
      <c r="I33" s="458"/>
      <c r="J33" s="152"/>
      <c r="K33" s="153"/>
      <c r="L33" s="1029"/>
      <c r="N33" s="153"/>
    </row>
    <row r="34" spans="1:14" s="147" customFormat="1" ht="15.75" customHeight="1">
      <c r="A34" s="171"/>
      <c r="B34" s="186" t="s">
        <v>154</v>
      </c>
      <c r="C34" s="914">
        <f>+I40</f>
        <v>9436000000</v>
      </c>
      <c r="D34" s="917">
        <v>9436000000</v>
      </c>
      <c r="E34" s="914">
        <f>C34-D34</f>
        <v>0</v>
      </c>
      <c r="F34" s="187" t="s">
        <v>286</v>
      </c>
      <c r="G34" s="190">
        <f aca="true" t="shared" si="2" ref="G34:G39">I34/H34</f>
        <v>384416666.6666667</v>
      </c>
      <c r="H34" s="188">
        <v>12</v>
      </c>
      <c r="I34" s="191">
        <v>4613000000</v>
      </c>
      <c r="J34" s="152">
        <f>D34*3%-E34</f>
        <v>283080000</v>
      </c>
      <c r="K34" s="153"/>
      <c r="L34" s="1029"/>
      <c r="N34" s="153"/>
    </row>
    <row r="35" spans="1:14" s="147" customFormat="1" ht="15.75" customHeight="1">
      <c r="A35" s="171"/>
      <c r="B35" s="186"/>
      <c r="C35" s="914"/>
      <c r="D35" s="915"/>
      <c r="E35" s="914"/>
      <c r="F35" s="187" t="s">
        <v>348</v>
      </c>
      <c r="G35" s="190">
        <f t="shared" si="2"/>
        <v>131416666.66666667</v>
      </c>
      <c r="H35" s="188">
        <v>12</v>
      </c>
      <c r="I35" s="191">
        <f>1388000000+189000000</f>
        <v>1577000000</v>
      </c>
      <c r="J35" s="152"/>
      <c r="K35" s="153"/>
      <c r="L35" s="1029"/>
      <c r="N35" s="153"/>
    </row>
    <row r="36" spans="1:14" s="147" customFormat="1" ht="15.75" customHeight="1">
      <c r="A36" s="171"/>
      <c r="B36" s="186"/>
      <c r="C36" s="914"/>
      <c r="D36" s="915"/>
      <c r="E36" s="914"/>
      <c r="F36" s="187" t="s">
        <v>349</v>
      </c>
      <c r="G36" s="190">
        <f t="shared" si="2"/>
        <v>37500000</v>
      </c>
      <c r="H36" s="188">
        <v>12</v>
      </c>
      <c r="I36" s="191">
        <v>450000000</v>
      </c>
      <c r="J36" s="152"/>
      <c r="K36" s="153"/>
      <c r="L36" s="1029"/>
      <c r="N36" s="153"/>
    </row>
    <row r="37" spans="1:14" s="147" customFormat="1" ht="15.75" customHeight="1">
      <c r="A37" s="171"/>
      <c r="B37" s="186"/>
      <c r="C37" s="914"/>
      <c r="D37" s="915"/>
      <c r="E37" s="914"/>
      <c r="F37" s="187" t="s">
        <v>355</v>
      </c>
      <c r="G37" s="190">
        <f t="shared" si="2"/>
        <v>22250000</v>
      </c>
      <c r="H37" s="188">
        <v>12</v>
      </c>
      <c r="I37" s="191">
        <v>267000000</v>
      </c>
      <c r="J37" s="152"/>
      <c r="K37" s="153"/>
      <c r="L37" s="1029"/>
      <c r="N37" s="153"/>
    </row>
    <row r="38" spans="1:14" s="147" customFormat="1" ht="15.75" customHeight="1">
      <c r="A38" s="171"/>
      <c r="B38" s="186"/>
      <c r="C38" s="914"/>
      <c r="D38" s="915"/>
      <c r="E38" s="914"/>
      <c r="F38" s="187" t="s">
        <v>155</v>
      </c>
      <c r="G38" s="190">
        <f t="shared" si="2"/>
        <v>37416666.666666664</v>
      </c>
      <c r="H38" s="188">
        <v>12</v>
      </c>
      <c r="I38" s="191">
        <v>449000000</v>
      </c>
      <c r="J38" s="152"/>
      <c r="K38" s="153"/>
      <c r="L38" s="1029"/>
      <c r="N38" s="153"/>
    </row>
    <row r="39" spans="1:14" s="147" customFormat="1" ht="15.75" customHeight="1">
      <c r="A39" s="171"/>
      <c r="B39" s="186"/>
      <c r="C39" s="914"/>
      <c r="D39" s="915"/>
      <c r="E39" s="914"/>
      <c r="F39" s="187" t="s">
        <v>156</v>
      </c>
      <c r="G39" s="190">
        <f t="shared" si="2"/>
        <v>173333333.33333334</v>
      </c>
      <c r="H39" s="188">
        <v>12</v>
      </c>
      <c r="I39" s="191">
        <f>477000000+905000000+332000000+366000000</f>
        <v>2080000000</v>
      </c>
      <c r="J39" s="152"/>
      <c r="K39" s="153"/>
      <c r="L39" s="1029"/>
      <c r="N39" s="153"/>
    </row>
    <row r="40" spans="1:14" s="147" customFormat="1" ht="15.75" customHeight="1">
      <c r="A40" s="171"/>
      <c r="B40" s="192"/>
      <c r="C40" s="916"/>
      <c r="D40" s="918"/>
      <c r="E40" s="916"/>
      <c r="F40" s="193" t="s">
        <v>266</v>
      </c>
      <c r="G40" s="461"/>
      <c r="H40" s="195"/>
      <c r="I40" s="194">
        <f>SUM(I34:I39)</f>
        <v>9436000000</v>
      </c>
      <c r="J40" s="152"/>
      <c r="K40" s="153"/>
      <c r="L40" s="1029"/>
      <c r="N40" s="153"/>
    </row>
    <row r="41" spans="1:14" s="147" customFormat="1" ht="15.75" customHeight="1">
      <c r="A41" s="249"/>
      <c r="B41" s="250" t="s">
        <v>157</v>
      </c>
      <c r="C41" s="919">
        <f>+I41</f>
        <v>53000000</v>
      </c>
      <c r="D41" s="920">
        <v>53000000</v>
      </c>
      <c r="E41" s="919">
        <f>C41-D41</f>
        <v>0</v>
      </c>
      <c r="F41" s="251" t="s">
        <v>158</v>
      </c>
      <c r="G41" s="462"/>
      <c r="H41" s="252" t="s">
        <v>132</v>
      </c>
      <c r="I41" s="255">
        <f>+'20년 추경지출(대전)'!H32</f>
        <v>53000000</v>
      </c>
      <c r="J41" s="152"/>
      <c r="K41" s="153"/>
      <c r="L41" s="1029"/>
      <c r="N41" s="153"/>
    </row>
    <row r="42" spans="1:14" s="147" customFormat="1" ht="15.75" customHeight="1">
      <c r="A42" s="171" t="s">
        <v>351</v>
      </c>
      <c r="B42" s="186" t="s">
        <v>159</v>
      </c>
      <c r="C42" s="914">
        <f>+I46</f>
        <v>62000000</v>
      </c>
      <c r="D42" s="915">
        <v>62000000</v>
      </c>
      <c r="E42" s="914">
        <f>C42-D42</f>
        <v>0</v>
      </c>
      <c r="F42" s="187" t="s">
        <v>160</v>
      </c>
      <c r="G42" s="190">
        <f>I42/H42</f>
        <v>1000000</v>
      </c>
      <c r="H42" s="188">
        <v>12</v>
      </c>
      <c r="I42" s="191">
        <v>12000000</v>
      </c>
      <c r="J42" s="152"/>
      <c r="K42" s="153"/>
      <c r="L42" s="1029"/>
      <c r="N42" s="153"/>
    </row>
    <row r="43" spans="1:14" s="147" customFormat="1" ht="15.75" customHeight="1">
      <c r="A43" s="171"/>
      <c r="B43" s="186"/>
      <c r="C43" s="914"/>
      <c r="D43" s="915"/>
      <c r="E43" s="914"/>
      <c r="F43" s="187" t="s">
        <v>161</v>
      </c>
      <c r="G43" s="190">
        <f>I43/H43</f>
        <v>666666.6666666666</v>
      </c>
      <c r="H43" s="188">
        <v>12</v>
      </c>
      <c r="I43" s="191">
        <v>8000000</v>
      </c>
      <c r="J43" s="152"/>
      <c r="K43" s="153"/>
      <c r="L43" s="1029"/>
      <c r="N43" s="153"/>
    </row>
    <row r="44" spans="1:14" s="147" customFormat="1" ht="15.75" customHeight="1">
      <c r="A44" s="171"/>
      <c r="B44" s="186"/>
      <c r="C44" s="914"/>
      <c r="D44" s="915"/>
      <c r="E44" s="914"/>
      <c r="F44" s="187" t="s">
        <v>162</v>
      </c>
      <c r="G44" s="190">
        <f>I44/H44</f>
        <v>1166666.6666666667</v>
      </c>
      <c r="H44" s="188">
        <v>12</v>
      </c>
      <c r="I44" s="191">
        <v>14000000</v>
      </c>
      <c r="J44" s="152"/>
      <c r="K44" s="153"/>
      <c r="L44" s="1029"/>
      <c r="N44" s="153"/>
    </row>
    <row r="45" spans="1:14" s="147" customFormat="1" ht="15.75" customHeight="1">
      <c r="A45" s="171"/>
      <c r="B45" s="186"/>
      <c r="C45" s="914"/>
      <c r="D45" s="915"/>
      <c r="E45" s="914"/>
      <c r="F45" s="187" t="s">
        <v>46</v>
      </c>
      <c r="G45" s="190">
        <f>I45/H45</f>
        <v>2333333.3333333335</v>
      </c>
      <c r="H45" s="188">
        <v>12</v>
      </c>
      <c r="I45" s="191">
        <f>11000000+17000000</f>
        <v>28000000</v>
      </c>
      <c r="J45" s="152"/>
      <c r="K45" s="153"/>
      <c r="L45" s="1029"/>
      <c r="N45" s="153"/>
    </row>
    <row r="46" spans="1:14" s="147" customFormat="1" ht="15.75" customHeight="1">
      <c r="A46" s="171"/>
      <c r="B46" s="192"/>
      <c r="C46" s="916"/>
      <c r="D46" s="918"/>
      <c r="E46" s="916"/>
      <c r="F46" s="193" t="s">
        <v>266</v>
      </c>
      <c r="G46" s="460"/>
      <c r="H46" s="182"/>
      <c r="I46" s="194">
        <f>SUM(I42:I45)</f>
        <v>62000000</v>
      </c>
      <c r="J46" s="152"/>
      <c r="K46" s="153"/>
      <c r="L46" s="1029"/>
      <c r="N46" s="153"/>
    </row>
    <row r="47" spans="1:14" s="147" customFormat="1" ht="15.75" customHeight="1">
      <c r="A47" s="171"/>
      <c r="B47" s="165" t="s">
        <v>163</v>
      </c>
      <c r="C47" s="909">
        <f>+I47</f>
        <v>0</v>
      </c>
      <c r="D47" s="910">
        <v>0</v>
      </c>
      <c r="E47" s="909">
        <f>C47-D47</f>
        <v>0</v>
      </c>
      <c r="F47" s="166" t="s">
        <v>164</v>
      </c>
      <c r="G47" s="459"/>
      <c r="H47" s="168"/>
      <c r="I47" s="458">
        <v>0</v>
      </c>
      <c r="J47" s="152"/>
      <c r="K47" s="153"/>
      <c r="L47" s="1029"/>
      <c r="N47" s="153"/>
    </row>
    <row r="48" spans="1:14" s="147" customFormat="1" ht="15.75" customHeight="1">
      <c r="A48" s="164" t="s">
        <v>339</v>
      </c>
      <c r="B48" s="165"/>
      <c r="C48" s="909">
        <f>SUM(C49:C76)</f>
        <v>9541000000</v>
      </c>
      <c r="D48" s="910">
        <f>+D49+D52+D57+D60+D61+D62+D65+D68+D76</f>
        <v>9476000000</v>
      </c>
      <c r="E48" s="909">
        <f>C48-D48</f>
        <v>65000000</v>
      </c>
      <c r="F48" s="166"/>
      <c r="G48" s="459"/>
      <c r="H48" s="168"/>
      <c r="I48" s="458"/>
      <c r="J48" s="152"/>
      <c r="K48" s="153"/>
      <c r="L48" s="1029"/>
      <c r="N48" s="153"/>
    </row>
    <row r="49" spans="1:14" s="147" customFormat="1" ht="15.75" customHeight="1">
      <c r="A49" s="171"/>
      <c r="B49" s="183" t="s">
        <v>165</v>
      </c>
      <c r="C49" s="912">
        <f>+I51</f>
        <v>170000000</v>
      </c>
      <c r="D49" s="917">
        <v>170000000</v>
      </c>
      <c r="E49" s="912">
        <f>C49-D49</f>
        <v>0</v>
      </c>
      <c r="F49" s="184" t="s">
        <v>287</v>
      </c>
      <c r="G49" s="189">
        <v>6125</v>
      </c>
      <c r="H49" s="185">
        <v>12</v>
      </c>
      <c r="I49" s="474">
        <f>41000000+29000000</f>
        <v>70000000</v>
      </c>
      <c r="J49" s="152"/>
      <c r="K49" s="153"/>
      <c r="L49" s="1029"/>
      <c r="N49" s="153"/>
    </row>
    <row r="50" spans="1:14" s="147" customFormat="1" ht="15.75" customHeight="1">
      <c r="A50" s="171"/>
      <c r="B50" s="186"/>
      <c r="C50" s="914"/>
      <c r="D50" s="915"/>
      <c r="E50" s="914"/>
      <c r="F50" s="187" t="s">
        <v>288</v>
      </c>
      <c r="G50" s="190">
        <v>437.5</v>
      </c>
      <c r="H50" s="188">
        <v>12</v>
      </c>
      <c r="I50" s="191">
        <v>100000000</v>
      </c>
      <c r="J50" s="152"/>
      <c r="K50" s="153"/>
      <c r="L50" s="1029"/>
      <c r="N50" s="153"/>
    </row>
    <row r="51" spans="1:14" s="147" customFormat="1" ht="15.75" customHeight="1">
      <c r="A51" s="171"/>
      <c r="B51" s="192"/>
      <c r="C51" s="916"/>
      <c r="D51" s="918"/>
      <c r="E51" s="916"/>
      <c r="F51" s="193" t="s">
        <v>266</v>
      </c>
      <c r="G51" s="461"/>
      <c r="H51" s="195"/>
      <c r="I51" s="194">
        <f>SUM(I49:I50)</f>
        <v>170000000</v>
      </c>
      <c r="J51" s="152"/>
      <c r="K51" s="153"/>
      <c r="L51" s="1029"/>
      <c r="N51" s="153"/>
    </row>
    <row r="52" spans="1:14" s="147" customFormat="1" ht="15.75" customHeight="1">
      <c r="A52" s="171"/>
      <c r="B52" s="186" t="s">
        <v>166</v>
      </c>
      <c r="C52" s="912">
        <f>+I56</f>
        <v>171000000</v>
      </c>
      <c r="D52" s="917">
        <v>171000000</v>
      </c>
      <c r="E52" s="912">
        <f>C52-D52</f>
        <v>0</v>
      </c>
      <c r="F52" s="184" t="s">
        <v>167</v>
      </c>
      <c r="G52" s="190">
        <f>I52/H52</f>
        <v>6000000</v>
      </c>
      <c r="H52" s="185">
        <v>1</v>
      </c>
      <c r="I52" s="474">
        <v>6000000</v>
      </c>
      <c r="J52" s="152"/>
      <c r="K52" s="153"/>
      <c r="L52" s="1029"/>
      <c r="N52" s="153"/>
    </row>
    <row r="53" spans="1:14" s="147" customFormat="1" ht="15.75" customHeight="1">
      <c r="A53" s="171"/>
      <c r="B53" s="186"/>
      <c r="C53" s="914"/>
      <c r="D53" s="915"/>
      <c r="E53" s="914"/>
      <c r="F53" s="187" t="s">
        <v>168</v>
      </c>
      <c r="G53" s="190">
        <f>I53/H53</f>
        <v>2083333.3333333333</v>
      </c>
      <c r="H53" s="188">
        <v>12</v>
      </c>
      <c r="I53" s="191">
        <v>25000000</v>
      </c>
      <c r="J53" s="152"/>
      <c r="K53" s="153"/>
      <c r="L53" s="1029"/>
      <c r="N53" s="153"/>
    </row>
    <row r="54" spans="1:14" s="147" customFormat="1" ht="15.75" customHeight="1">
      <c r="A54" s="171"/>
      <c r="B54" s="186"/>
      <c r="C54" s="914"/>
      <c r="D54" s="915"/>
      <c r="E54" s="914"/>
      <c r="F54" s="187" t="s">
        <v>289</v>
      </c>
      <c r="G54" s="190">
        <f>I54/H54</f>
        <v>7333333.333333333</v>
      </c>
      <c r="H54" s="188">
        <v>12</v>
      </c>
      <c r="I54" s="191">
        <v>88000000</v>
      </c>
      <c r="J54" s="152"/>
      <c r="K54" s="153"/>
      <c r="L54" s="1029"/>
      <c r="N54" s="153"/>
    </row>
    <row r="55" spans="1:14" s="147" customFormat="1" ht="15.75" customHeight="1">
      <c r="A55" s="171"/>
      <c r="B55" s="186"/>
      <c r="C55" s="914"/>
      <c r="D55" s="915"/>
      <c r="E55" s="914"/>
      <c r="F55" s="187" t="s">
        <v>290</v>
      </c>
      <c r="G55" s="190">
        <f>I55/H55</f>
        <v>4333333.333333333</v>
      </c>
      <c r="H55" s="188">
        <v>12</v>
      </c>
      <c r="I55" s="191">
        <v>52000000</v>
      </c>
      <c r="J55" s="152"/>
      <c r="K55" s="153"/>
      <c r="L55" s="1029"/>
      <c r="N55" s="153"/>
    </row>
    <row r="56" spans="1:14" s="147" customFormat="1" ht="15.75" customHeight="1">
      <c r="A56" s="171"/>
      <c r="B56" s="192"/>
      <c r="C56" s="916"/>
      <c r="D56" s="918"/>
      <c r="E56" s="916"/>
      <c r="F56" s="193" t="s">
        <v>147</v>
      </c>
      <c r="G56" s="461"/>
      <c r="H56" s="195"/>
      <c r="I56" s="194">
        <f>SUM(I52:I55)</f>
        <v>171000000</v>
      </c>
      <c r="J56" s="152"/>
      <c r="K56" s="153"/>
      <c r="L56" s="1029"/>
      <c r="N56" s="153"/>
    </row>
    <row r="57" spans="1:14" s="147" customFormat="1" ht="15.75" customHeight="1">
      <c r="A57" s="171"/>
      <c r="B57" s="183" t="s">
        <v>169</v>
      </c>
      <c r="C57" s="912">
        <f>+I59</f>
        <v>840000000</v>
      </c>
      <c r="D57" s="917">
        <v>840000000</v>
      </c>
      <c r="E57" s="912">
        <f>C57-D57</f>
        <v>0</v>
      </c>
      <c r="F57" s="196" t="s">
        <v>263</v>
      </c>
      <c r="G57" s="244">
        <f>I57/H57</f>
        <v>6833333.333333333</v>
      </c>
      <c r="H57" s="197">
        <v>12</v>
      </c>
      <c r="I57" s="245">
        <v>82000000</v>
      </c>
      <c r="J57" s="152"/>
      <c r="K57" s="153"/>
      <c r="L57" s="1029"/>
      <c r="N57" s="153"/>
    </row>
    <row r="58" spans="1:14" s="147" customFormat="1" ht="15.75" customHeight="1">
      <c r="A58" s="171"/>
      <c r="B58" s="186"/>
      <c r="C58" s="914"/>
      <c r="D58" s="915"/>
      <c r="E58" s="914"/>
      <c r="F58" s="198" t="s">
        <v>262</v>
      </c>
      <c r="G58" s="463">
        <f>I58/H58</f>
        <v>63166666.666666664</v>
      </c>
      <c r="H58" s="199">
        <v>12</v>
      </c>
      <c r="I58" s="475">
        <v>758000000</v>
      </c>
      <c r="J58" s="152"/>
      <c r="K58" s="153"/>
      <c r="L58" s="1029"/>
      <c r="N58" s="153"/>
    </row>
    <row r="59" spans="1:14" s="147" customFormat="1" ht="15.75" customHeight="1">
      <c r="A59" s="171"/>
      <c r="B59" s="192"/>
      <c r="C59" s="916"/>
      <c r="D59" s="918"/>
      <c r="E59" s="916"/>
      <c r="F59" s="193" t="s">
        <v>147</v>
      </c>
      <c r="G59" s="461" t="s">
        <v>20</v>
      </c>
      <c r="H59" s="195"/>
      <c r="I59" s="194">
        <f>SUM(I57:I58)</f>
        <v>840000000</v>
      </c>
      <c r="J59" s="152"/>
      <c r="K59" s="153"/>
      <c r="L59" s="1029"/>
      <c r="N59" s="153"/>
    </row>
    <row r="60" spans="1:14" s="147" customFormat="1" ht="15.75" customHeight="1">
      <c r="A60" s="171"/>
      <c r="B60" s="192" t="s">
        <v>170</v>
      </c>
      <c r="C60" s="921">
        <f>+I60</f>
        <v>429000000</v>
      </c>
      <c r="D60" s="910">
        <v>429000000</v>
      </c>
      <c r="E60" s="916">
        <f>C60-D60</f>
        <v>0</v>
      </c>
      <c r="F60" s="181" t="s">
        <v>171</v>
      </c>
      <c r="G60" s="460">
        <f>I60/H60</f>
        <v>35750000</v>
      </c>
      <c r="H60" s="182">
        <v>12</v>
      </c>
      <c r="I60" s="194">
        <v>429000000</v>
      </c>
      <c r="J60" s="152">
        <f>D60*3%</f>
        <v>12870000</v>
      </c>
      <c r="K60" s="153"/>
      <c r="L60" s="1029"/>
      <c r="N60" s="153"/>
    </row>
    <row r="61" spans="1:14" s="147" customFormat="1" ht="15.75" customHeight="1">
      <c r="A61" s="171"/>
      <c r="B61" s="165" t="s">
        <v>172</v>
      </c>
      <c r="C61" s="922">
        <f>+I61</f>
        <v>1040000000</v>
      </c>
      <c r="D61" s="910">
        <v>1040000000</v>
      </c>
      <c r="E61" s="909">
        <f>C61-D61</f>
        <v>0</v>
      </c>
      <c r="F61" s="200" t="s">
        <v>173</v>
      </c>
      <c r="G61" s="464">
        <f>I61/H61</f>
        <v>86666666.66666667</v>
      </c>
      <c r="H61" s="201">
        <v>12</v>
      </c>
      <c r="I61" s="476">
        <v>1040000000</v>
      </c>
      <c r="J61" s="152">
        <f>D61*3%</f>
        <v>31200000</v>
      </c>
      <c r="K61" s="153"/>
      <c r="L61" s="1029"/>
      <c r="N61" s="153"/>
    </row>
    <row r="62" spans="1:14" s="147" customFormat="1" ht="15.75" customHeight="1">
      <c r="A62" s="171"/>
      <c r="B62" s="183" t="s">
        <v>174</v>
      </c>
      <c r="C62" s="923">
        <f>+I64</f>
        <v>2587000000</v>
      </c>
      <c r="D62" s="917">
        <v>2587000000</v>
      </c>
      <c r="E62" s="912">
        <f>C62-D62</f>
        <v>0</v>
      </c>
      <c r="F62" s="206" t="s">
        <v>265</v>
      </c>
      <c r="G62" s="244">
        <f>I62/H62</f>
        <v>180083333.33333334</v>
      </c>
      <c r="H62" s="207">
        <v>12</v>
      </c>
      <c r="I62" s="245">
        <v>2161000000</v>
      </c>
      <c r="J62" s="202"/>
      <c r="K62" s="153"/>
      <c r="L62" s="1029"/>
      <c r="N62" s="153"/>
    </row>
    <row r="63" spans="1:14" s="147" customFormat="1" ht="15.75" customHeight="1">
      <c r="A63" s="171"/>
      <c r="B63" s="186"/>
      <c r="C63" s="914"/>
      <c r="D63" s="915"/>
      <c r="E63" s="914"/>
      <c r="F63" s="187" t="s">
        <v>264</v>
      </c>
      <c r="G63" s="190">
        <f>I63/H63</f>
        <v>35500000</v>
      </c>
      <c r="H63" s="188">
        <v>12</v>
      </c>
      <c r="I63" s="191">
        <v>426000000</v>
      </c>
      <c r="J63" s="152"/>
      <c r="K63" s="153"/>
      <c r="L63" s="1029"/>
      <c r="N63" s="153"/>
    </row>
    <row r="64" spans="1:14" s="147" customFormat="1" ht="15.75" customHeight="1">
      <c r="A64" s="171"/>
      <c r="B64" s="192"/>
      <c r="C64" s="916"/>
      <c r="D64" s="918"/>
      <c r="E64" s="916"/>
      <c r="F64" s="193" t="s">
        <v>147</v>
      </c>
      <c r="G64" s="461"/>
      <c r="H64" s="195"/>
      <c r="I64" s="194">
        <f>SUM(I62:I63)</f>
        <v>2587000000</v>
      </c>
      <c r="J64" s="152"/>
      <c r="K64" s="153"/>
      <c r="L64" s="1029"/>
      <c r="N64" s="153"/>
    </row>
    <row r="65" spans="1:14" s="147" customFormat="1" ht="15.75" customHeight="1">
      <c r="A65" s="171"/>
      <c r="B65" s="186" t="s">
        <v>175</v>
      </c>
      <c r="C65" s="912">
        <f>+I67</f>
        <v>215000000</v>
      </c>
      <c r="D65" s="915">
        <v>215000000</v>
      </c>
      <c r="E65" s="912">
        <f>C65-D65</f>
        <v>0</v>
      </c>
      <c r="F65" s="187" t="s">
        <v>176</v>
      </c>
      <c r="G65" s="190">
        <f>I65/H65</f>
        <v>10000000</v>
      </c>
      <c r="H65" s="188">
        <v>12</v>
      </c>
      <c r="I65" s="191">
        <v>120000000</v>
      </c>
      <c r="J65" s="152">
        <f>D65*3%</f>
        <v>6450000</v>
      </c>
      <c r="K65" s="153"/>
      <c r="L65" s="1029"/>
      <c r="N65" s="153"/>
    </row>
    <row r="66" spans="1:14" s="147" customFormat="1" ht="15.75" customHeight="1">
      <c r="A66" s="171"/>
      <c r="B66" s="186"/>
      <c r="C66" s="914"/>
      <c r="D66" s="915"/>
      <c r="E66" s="914"/>
      <c r="F66" s="187" t="s">
        <v>177</v>
      </c>
      <c r="G66" s="190">
        <f>I66/H66</f>
        <v>7916666.666666667</v>
      </c>
      <c r="H66" s="188">
        <v>12</v>
      </c>
      <c r="I66" s="191">
        <v>95000000</v>
      </c>
      <c r="J66" s="152"/>
      <c r="K66" s="153"/>
      <c r="L66" s="1029"/>
      <c r="N66" s="153"/>
    </row>
    <row r="67" spans="1:14" s="147" customFormat="1" ht="15.75" customHeight="1">
      <c r="A67" s="171"/>
      <c r="B67" s="192"/>
      <c r="C67" s="916"/>
      <c r="D67" s="918"/>
      <c r="E67" s="916"/>
      <c r="F67" s="193" t="s">
        <v>147</v>
      </c>
      <c r="G67" s="461"/>
      <c r="H67" s="195"/>
      <c r="I67" s="194">
        <f>I65+I66</f>
        <v>215000000</v>
      </c>
      <c r="J67" s="152"/>
      <c r="K67" s="153"/>
      <c r="L67" s="1029"/>
      <c r="N67" s="153"/>
    </row>
    <row r="68" spans="1:14" s="147" customFormat="1" ht="15.75" customHeight="1">
      <c r="A68" s="171"/>
      <c r="B68" s="186" t="s">
        <v>178</v>
      </c>
      <c r="C68" s="914">
        <f>+I75</f>
        <v>2279000000</v>
      </c>
      <c r="D68" s="915">
        <v>2279000000</v>
      </c>
      <c r="E68" s="914">
        <f>C68-D68</f>
        <v>0</v>
      </c>
      <c r="F68" s="187" t="s">
        <v>567</v>
      </c>
      <c r="G68" s="190">
        <f aca="true" t="shared" si="3" ref="G68:G73">I68/H68</f>
        <v>27256833.333333332</v>
      </c>
      <c r="H68" s="188">
        <v>12</v>
      </c>
      <c r="I68" s="191">
        <v>327082000</v>
      </c>
      <c r="J68" s="152"/>
      <c r="K68" s="153"/>
      <c r="L68" s="1029"/>
      <c r="N68" s="153"/>
    </row>
    <row r="69" spans="1:14" s="147" customFormat="1" ht="15.75" customHeight="1">
      <c r="A69" s="171"/>
      <c r="B69" s="186"/>
      <c r="C69" s="914"/>
      <c r="D69" s="915"/>
      <c r="E69" s="914"/>
      <c r="F69" s="187" t="s">
        <v>568</v>
      </c>
      <c r="G69" s="190">
        <f t="shared" si="3"/>
        <v>306666666.6666667</v>
      </c>
      <c r="H69" s="188">
        <v>3</v>
      </c>
      <c r="I69" s="191">
        <v>920000000</v>
      </c>
      <c r="J69" s="152"/>
      <c r="K69" s="153"/>
      <c r="L69" s="1029"/>
      <c r="N69" s="153"/>
    </row>
    <row r="70" spans="1:14" s="147" customFormat="1" ht="15.75" customHeight="1">
      <c r="A70" s="171"/>
      <c r="B70" s="186"/>
      <c r="C70" s="914"/>
      <c r="D70" s="915"/>
      <c r="E70" s="914"/>
      <c r="F70" s="187" t="s">
        <v>565</v>
      </c>
      <c r="G70" s="190">
        <f t="shared" si="3"/>
        <v>250000000</v>
      </c>
      <c r="H70" s="188">
        <v>1</v>
      </c>
      <c r="I70" s="191">
        <v>250000000</v>
      </c>
      <c r="J70" s="152"/>
      <c r="K70" s="153"/>
      <c r="L70" s="1029"/>
      <c r="N70" s="153"/>
    </row>
    <row r="71" spans="1:14" s="147" customFormat="1" ht="15.75" customHeight="1">
      <c r="A71" s="171"/>
      <c r="B71" s="186"/>
      <c r="C71" s="914"/>
      <c r="D71" s="915"/>
      <c r="E71" s="914"/>
      <c r="F71" s="187" t="s">
        <v>566</v>
      </c>
      <c r="G71" s="190">
        <f t="shared" si="3"/>
        <v>220845000</v>
      </c>
      <c r="H71" s="188">
        <v>1</v>
      </c>
      <c r="I71" s="191">
        <v>220845000</v>
      </c>
      <c r="J71" s="152"/>
      <c r="K71" s="153"/>
      <c r="L71" s="1029"/>
      <c r="N71" s="153"/>
    </row>
    <row r="72" spans="1:14" s="147" customFormat="1" ht="15.75" customHeight="1">
      <c r="A72" s="171"/>
      <c r="B72" s="186"/>
      <c r="C72" s="914"/>
      <c r="D72" s="915"/>
      <c r="E72" s="914"/>
      <c r="F72" s="187" t="s">
        <v>352</v>
      </c>
      <c r="G72" s="190">
        <f t="shared" si="3"/>
        <v>312000000</v>
      </c>
      <c r="H72" s="188">
        <v>1</v>
      </c>
      <c r="I72" s="191">
        <v>312000000</v>
      </c>
      <c r="J72" s="152"/>
      <c r="K72" s="153"/>
      <c r="L72" s="1029"/>
      <c r="N72" s="153"/>
    </row>
    <row r="73" spans="1:14" s="147" customFormat="1" ht="15.75" customHeight="1">
      <c r="A73" s="171"/>
      <c r="B73" s="186"/>
      <c r="C73" s="914"/>
      <c r="D73" s="915"/>
      <c r="E73" s="914"/>
      <c r="F73" s="187" t="s">
        <v>350</v>
      </c>
      <c r="G73" s="190">
        <f t="shared" si="3"/>
        <v>20756083.333333332</v>
      </c>
      <c r="H73" s="188">
        <v>12</v>
      </c>
      <c r="I73" s="191">
        <v>249073000</v>
      </c>
      <c r="J73" s="152"/>
      <c r="K73" s="153"/>
      <c r="L73" s="1029"/>
      <c r="N73" s="153"/>
    </row>
    <row r="74" spans="1:14" s="147" customFormat="1" ht="15.75" customHeight="1">
      <c r="A74" s="171"/>
      <c r="B74" s="186"/>
      <c r="C74" s="914"/>
      <c r="D74" s="915"/>
      <c r="E74" s="914"/>
      <c r="F74" s="187"/>
      <c r="G74" s="190"/>
      <c r="H74" s="188"/>
      <c r="I74" s="191"/>
      <c r="J74" s="152"/>
      <c r="K74" s="153"/>
      <c r="L74" s="1029"/>
      <c r="N74" s="153"/>
    </row>
    <row r="75" spans="1:14" s="147" customFormat="1" ht="15.75" customHeight="1">
      <c r="A75" s="171"/>
      <c r="B75" s="186"/>
      <c r="C75" s="914"/>
      <c r="D75" s="915"/>
      <c r="E75" s="916"/>
      <c r="F75" s="203" t="s">
        <v>147</v>
      </c>
      <c r="G75" s="465"/>
      <c r="H75" s="204"/>
      <c r="I75" s="205">
        <f>SUM(I68:I74)</f>
        <v>2279000000</v>
      </c>
      <c r="J75" s="152"/>
      <c r="K75" s="153"/>
      <c r="L75" s="1029"/>
      <c r="N75" s="153"/>
    </row>
    <row r="76" spans="1:14" s="147" customFormat="1" ht="15.75" customHeight="1">
      <c r="A76" s="171"/>
      <c r="B76" s="183" t="s">
        <v>179</v>
      </c>
      <c r="C76" s="923">
        <f>+I79</f>
        <v>1810000000</v>
      </c>
      <c r="D76" s="917">
        <v>1745000000</v>
      </c>
      <c r="E76" s="912">
        <f>C76-D76</f>
        <v>65000000</v>
      </c>
      <c r="F76" s="206" t="s">
        <v>180</v>
      </c>
      <c r="G76" s="244">
        <f>I76/H76</f>
        <v>73333333.33333333</v>
      </c>
      <c r="H76" s="207">
        <v>12</v>
      </c>
      <c r="I76" s="245">
        <v>880000000</v>
      </c>
      <c r="J76" s="152">
        <f>D76*3%</f>
        <v>52350000</v>
      </c>
      <c r="K76" s="153"/>
      <c r="L76" s="1029"/>
      <c r="N76" s="153"/>
    </row>
    <row r="77" spans="1:14" s="147" customFormat="1" ht="15.75" customHeight="1">
      <c r="A77" s="171"/>
      <c r="B77" s="186"/>
      <c r="C77" s="914"/>
      <c r="D77" s="915"/>
      <c r="E77" s="914"/>
      <c r="F77" s="187" t="s">
        <v>181</v>
      </c>
      <c r="G77" s="190">
        <f>I77/H77</f>
        <v>77500000</v>
      </c>
      <c r="H77" s="188">
        <v>12</v>
      </c>
      <c r="I77" s="191">
        <v>930000000</v>
      </c>
      <c r="J77" s="152"/>
      <c r="K77" s="153"/>
      <c r="L77" s="1029"/>
      <c r="N77" s="153"/>
    </row>
    <row r="78" spans="1:14" s="147" customFormat="1" ht="15.75" customHeight="1">
      <c r="A78" s="171"/>
      <c r="B78" s="186"/>
      <c r="C78" s="914"/>
      <c r="D78" s="915"/>
      <c r="E78" s="914"/>
      <c r="F78" s="187"/>
      <c r="G78" s="190"/>
      <c r="H78" s="188"/>
      <c r="I78" s="191"/>
      <c r="J78" s="152"/>
      <c r="K78" s="153"/>
      <c r="L78" s="1029"/>
      <c r="N78" s="153"/>
    </row>
    <row r="79" spans="1:14" s="147" customFormat="1" ht="15.75" customHeight="1">
      <c r="A79" s="249"/>
      <c r="B79" s="250"/>
      <c r="C79" s="924"/>
      <c r="D79" s="925"/>
      <c r="E79" s="924"/>
      <c r="F79" s="253" t="s">
        <v>147</v>
      </c>
      <c r="G79" s="462"/>
      <c r="H79" s="252"/>
      <c r="I79" s="255">
        <f>SUM(I76:I78)</f>
        <v>1810000000</v>
      </c>
      <c r="J79" s="152"/>
      <c r="K79" s="153"/>
      <c r="L79" s="1029"/>
      <c r="N79" s="153"/>
    </row>
    <row r="80" spans="1:14" s="147" customFormat="1" ht="15.75" customHeight="1">
      <c r="A80" s="178" t="s">
        <v>182</v>
      </c>
      <c r="B80" s="192"/>
      <c r="C80" s="916">
        <f>SUM(C81:C100)</f>
        <v>1951000000</v>
      </c>
      <c r="D80" s="918">
        <f>+D81+D84+D96+D97+D100</f>
        <v>1951000000</v>
      </c>
      <c r="E80" s="916">
        <f>C80-D80</f>
        <v>0</v>
      </c>
      <c r="F80" s="181"/>
      <c r="G80" s="460"/>
      <c r="H80" s="182"/>
      <c r="I80" s="473"/>
      <c r="J80" s="152"/>
      <c r="K80" s="153"/>
      <c r="L80" s="1029"/>
      <c r="N80" s="153"/>
    </row>
    <row r="81" spans="1:14" s="147" customFormat="1" ht="15.75" customHeight="1">
      <c r="A81" s="170"/>
      <c r="B81" s="208" t="s">
        <v>183</v>
      </c>
      <c r="C81" s="912">
        <f>+I83</f>
        <v>757000000</v>
      </c>
      <c r="D81" s="917">
        <v>757000000</v>
      </c>
      <c r="E81" s="912">
        <f>C81-D81</f>
        <v>0</v>
      </c>
      <c r="F81" s="187" t="s">
        <v>569</v>
      </c>
      <c r="G81" s="190">
        <f>I81/H81</f>
        <v>61250000</v>
      </c>
      <c r="H81" s="188">
        <v>12</v>
      </c>
      <c r="I81" s="191">
        <v>735000000</v>
      </c>
      <c r="J81" s="152"/>
      <c r="K81" s="153"/>
      <c r="L81" s="1029"/>
      <c r="N81" s="153"/>
    </row>
    <row r="82" spans="1:14" s="147" customFormat="1" ht="15.75" customHeight="1">
      <c r="A82" s="171"/>
      <c r="B82" s="209"/>
      <c r="C82" s="914"/>
      <c r="D82" s="915"/>
      <c r="E82" s="914"/>
      <c r="F82" s="187" t="s">
        <v>570</v>
      </c>
      <c r="G82" s="190">
        <f>I82/H82</f>
        <v>1833333.3333333333</v>
      </c>
      <c r="H82" s="188">
        <v>12</v>
      </c>
      <c r="I82" s="191">
        <f>21450000+550000</f>
        <v>22000000</v>
      </c>
      <c r="J82" s="152"/>
      <c r="K82" s="153"/>
      <c r="L82" s="1029"/>
      <c r="N82" s="153"/>
    </row>
    <row r="83" spans="1:14" s="147" customFormat="1" ht="15.75" customHeight="1">
      <c r="A83" s="171"/>
      <c r="B83" s="192"/>
      <c r="C83" s="916"/>
      <c r="D83" s="918"/>
      <c r="E83" s="916"/>
      <c r="F83" s="193" t="s">
        <v>147</v>
      </c>
      <c r="G83" s="461"/>
      <c r="H83" s="195"/>
      <c r="I83" s="194">
        <f>SUM(I81:I82)</f>
        <v>757000000</v>
      </c>
      <c r="J83" s="152"/>
      <c r="K83" s="153"/>
      <c r="L83" s="1029"/>
      <c r="N83" s="153"/>
    </row>
    <row r="84" spans="1:14" s="147" customFormat="1" ht="15.75" customHeight="1">
      <c r="A84" s="171"/>
      <c r="B84" s="183" t="s">
        <v>184</v>
      </c>
      <c r="C84" s="912">
        <f>+I92</f>
        <v>560000000</v>
      </c>
      <c r="D84" s="917">
        <v>560000000</v>
      </c>
      <c r="E84" s="912">
        <f>C84-D84</f>
        <v>0</v>
      </c>
      <c r="F84" s="187" t="s">
        <v>272</v>
      </c>
      <c r="G84" s="190"/>
      <c r="H84" s="188"/>
      <c r="I84" s="191">
        <f>380000000-8500000</f>
        <v>371500000</v>
      </c>
      <c r="J84" s="152">
        <v>322288</v>
      </c>
      <c r="K84" s="153">
        <f>J84-I92</f>
        <v>-559677712</v>
      </c>
      <c r="L84" s="1029"/>
      <c r="N84" s="153"/>
    </row>
    <row r="85" spans="1:14" s="147" customFormat="1" ht="15.75" customHeight="1">
      <c r="A85" s="171"/>
      <c r="B85" s="186"/>
      <c r="C85" s="914"/>
      <c r="D85" s="915"/>
      <c r="E85" s="914"/>
      <c r="F85" s="187" t="s">
        <v>269</v>
      </c>
      <c r="G85" s="190"/>
      <c r="H85" s="188"/>
      <c r="I85" s="191">
        <v>180000000</v>
      </c>
      <c r="J85" s="152"/>
      <c r="K85" s="153"/>
      <c r="L85" s="1029"/>
      <c r="N85" s="153"/>
    </row>
    <row r="86" spans="1:14" s="147" customFormat="1" ht="15.75" customHeight="1">
      <c r="A86" s="171"/>
      <c r="B86" s="186"/>
      <c r="C86" s="914"/>
      <c r="D86" s="915"/>
      <c r="E86" s="914"/>
      <c r="F86" s="187" t="s">
        <v>270</v>
      </c>
      <c r="G86" s="190"/>
      <c r="H86" s="188"/>
      <c r="I86" s="191">
        <v>1500000</v>
      </c>
      <c r="J86" s="152"/>
      <c r="K86" s="153"/>
      <c r="L86" s="1029"/>
      <c r="N86" s="153"/>
    </row>
    <row r="87" spans="1:14" s="147" customFormat="1" ht="15.75" customHeight="1">
      <c r="A87" s="171"/>
      <c r="B87" s="186"/>
      <c r="C87" s="914"/>
      <c r="D87" s="915"/>
      <c r="E87" s="914"/>
      <c r="F87" s="187" t="s">
        <v>271</v>
      </c>
      <c r="G87" s="190"/>
      <c r="H87" s="188"/>
      <c r="I87" s="191">
        <v>1000000</v>
      </c>
      <c r="J87" s="152"/>
      <c r="K87" s="153"/>
      <c r="L87" s="1029"/>
      <c r="N87" s="153"/>
    </row>
    <row r="88" spans="1:14" s="147" customFormat="1" ht="15.75" customHeight="1">
      <c r="A88" s="171"/>
      <c r="B88" s="186"/>
      <c r="C88" s="914"/>
      <c r="D88" s="915"/>
      <c r="E88" s="914"/>
      <c r="F88" s="187" t="s">
        <v>293</v>
      </c>
      <c r="G88" s="190"/>
      <c r="H88" s="188"/>
      <c r="I88" s="191">
        <v>1000000</v>
      </c>
      <c r="J88" s="152"/>
      <c r="K88" s="153"/>
      <c r="L88" s="1029"/>
      <c r="N88" s="153"/>
    </row>
    <row r="89" spans="1:14" s="147" customFormat="1" ht="15.75" customHeight="1">
      <c r="A89" s="171"/>
      <c r="B89" s="186"/>
      <c r="C89" s="914"/>
      <c r="D89" s="915"/>
      <c r="E89" s="914"/>
      <c r="F89" s="187" t="s">
        <v>353</v>
      </c>
      <c r="G89" s="190"/>
      <c r="H89" s="188"/>
      <c r="I89" s="191">
        <v>5000000</v>
      </c>
      <c r="J89" s="152"/>
      <c r="K89" s="153"/>
      <c r="L89" s="1030"/>
      <c r="N89" s="153"/>
    </row>
    <row r="90" spans="1:14" s="147" customFormat="1" ht="15.75" customHeight="1" hidden="1">
      <c r="A90" s="171"/>
      <c r="B90" s="186"/>
      <c r="C90" s="914"/>
      <c r="D90" s="915"/>
      <c r="E90" s="914"/>
      <c r="F90" s="187"/>
      <c r="G90" s="190"/>
      <c r="H90" s="188"/>
      <c r="I90" s="191"/>
      <c r="J90" s="152"/>
      <c r="K90" s="153"/>
      <c r="L90" s="153"/>
      <c r="N90" s="153"/>
    </row>
    <row r="91" spans="1:14" s="147" customFormat="1" ht="15.75" customHeight="1" hidden="1">
      <c r="A91" s="171"/>
      <c r="B91" s="186"/>
      <c r="C91" s="914"/>
      <c r="D91" s="915"/>
      <c r="E91" s="914"/>
      <c r="F91" s="187"/>
      <c r="G91" s="190"/>
      <c r="H91" s="188"/>
      <c r="I91" s="191"/>
      <c r="J91" s="152"/>
      <c r="K91" s="153"/>
      <c r="L91" s="153"/>
      <c r="N91" s="153"/>
    </row>
    <row r="92" spans="1:14" s="147" customFormat="1" ht="15.75" customHeight="1">
      <c r="A92" s="171"/>
      <c r="B92" s="192"/>
      <c r="C92" s="916"/>
      <c r="D92" s="918"/>
      <c r="E92" s="916"/>
      <c r="F92" s="193" t="s">
        <v>147</v>
      </c>
      <c r="G92" s="461"/>
      <c r="H92" s="195"/>
      <c r="I92" s="194">
        <f>SUM(I84:I91)</f>
        <v>560000000</v>
      </c>
      <c r="J92" s="152"/>
      <c r="K92" s="153"/>
      <c r="L92" s="153"/>
      <c r="N92" s="153"/>
    </row>
    <row r="93" spans="1:14" s="147" customFormat="1" ht="15.75" customHeight="1">
      <c r="A93" s="171"/>
      <c r="B93" s="183" t="s">
        <v>185</v>
      </c>
      <c r="C93" s="909">
        <f aca="true" t="shared" si="4" ref="C93:C100">+I93</f>
        <v>0</v>
      </c>
      <c r="D93" s="910">
        <v>0</v>
      </c>
      <c r="E93" s="909">
        <f>C93-D93</f>
        <v>0</v>
      </c>
      <c r="F93" s="184"/>
      <c r="G93" s="189"/>
      <c r="H93" s="185"/>
      <c r="I93" s="474"/>
      <c r="J93" s="152"/>
      <c r="K93" s="153"/>
      <c r="L93" s="153"/>
      <c r="N93" s="153"/>
    </row>
    <row r="94" spans="1:14" s="147" customFormat="1" ht="15.75" customHeight="1">
      <c r="A94" s="171"/>
      <c r="B94" s="183" t="s">
        <v>1190</v>
      </c>
      <c r="C94" s="909">
        <v>0</v>
      </c>
      <c r="D94" s="910">
        <v>0</v>
      </c>
      <c r="E94" s="909">
        <v>0</v>
      </c>
      <c r="F94" s="184"/>
      <c r="G94" s="189"/>
      <c r="H94" s="185"/>
      <c r="I94" s="474"/>
      <c r="J94" s="152"/>
      <c r="K94" s="153"/>
      <c r="L94" s="153"/>
      <c r="N94" s="153"/>
    </row>
    <row r="95" spans="1:14" s="147" customFormat="1" ht="15.75" customHeight="1">
      <c r="A95" s="171"/>
      <c r="B95" s="183" t="s">
        <v>1188</v>
      </c>
      <c r="C95" s="909">
        <v>0</v>
      </c>
      <c r="D95" s="910">
        <v>0</v>
      </c>
      <c r="E95" s="909">
        <v>0</v>
      </c>
      <c r="F95" s="184"/>
      <c r="G95" s="189"/>
      <c r="H95" s="185"/>
      <c r="I95" s="474"/>
      <c r="J95" s="152"/>
      <c r="K95" s="153"/>
      <c r="L95" s="153"/>
      <c r="N95" s="153"/>
    </row>
    <row r="96" spans="1:14" s="147" customFormat="1" ht="15.75" customHeight="1">
      <c r="A96" s="171"/>
      <c r="B96" s="165" t="s">
        <v>1189</v>
      </c>
      <c r="C96" s="922">
        <f t="shared" si="4"/>
        <v>120000000</v>
      </c>
      <c r="D96" s="910">
        <v>120000000</v>
      </c>
      <c r="E96" s="909">
        <f>C96-D96</f>
        <v>0</v>
      </c>
      <c r="F96" s="200" t="s">
        <v>187</v>
      </c>
      <c r="G96" s="464">
        <f>I96/H96</f>
        <v>10000000</v>
      </c>
      <c r="H96" s="201">
        <v>12</v>
      </c>
      <c r="I96" s="476">
        <f>+'20년 추경지출(대전)'!H51</f>
        <v>120000000</v>
      </c>
      <c r="J96" s="152"/>
      <c r="K96" s="153"/>
      <c r="L96" s="153"/>
      <c r="N96" s="153"/>
    </row>
    <row r="97" spans="1:14" s="147" customFormat="1" ht="15.75" customHeight="1">
      <c r="A97" s="171"/>
      <c r="B97" s="192" t="s">
        <v>1191</v>
      </c>
      <c r="C97" s="922">
        <f>+I97</f>
        <v>472000000</v>
      </c>
      <c r="D97" s="910">
        <v>472000000</v>
      </c>
      <c r="E97" s="909">
        <f>C97-D97</f>
        <v>0</v>
      </c>
      <c r="F97" s="210" t="s">
        <v>189</v>
      </c>
      <c r="G97" s="211">
        <f>I97/H97</f>
        <v>39333333.333333336</v>
      </c>
      <c r="H97" s="212">
        <v>12</v>
      </c>
      <c r="I97" s="477">
        <v>472000000</v>
      </c>
      <c r="J97" s="152">
        <f>D103*3%</f>
        <v>0</v>
      </c>
      <c r="K97" s="153"/>
      <c r="L97" s="153"/>
      <c r="N97" s="153"/>
    </row>
    <row r="98" spans="1:14" s="147" customFormat="1" ht="15.75" customHeight="1">
      <c r="A98" s="171"/>
      <c r="B98" s="165" t="s">
        <v>1192</v>
      </c>
      <c r="C98" s="909">
        <f t="shared" si="4"/>
        <v>0</v>
      </c>
      <c r="D98" s="910">
        <v>0</v>
      </c>
      <c r="E98" s="909">
        <f>C98-D98</f>
        <v>0</v>
      </c>
      <c r="F98" s="166"/>
      <c r="G98" s="459"/>
      <c r="H98" s="168"/>
      <c r="I98" s="458"/>
      <c r="J98" s="152"/>
      <c r="K98" s="153"/>
      <c r="L98" s="153"/>
      <c r="N98" s="153"/>
    </row>
    <row r="99" spans="1:14" s="147" customFormat="1" ht="15.75" customHeight="1">
      <c r="A99" s="171"/>
      <c r="B99" s="165" t="s">
        <v>1193</v>
      </c>
      <c r="C99" s="909">
        <f t="shared" si="4"/>
        <v>0</v>
      </c>
      <c r="D99" s="910">
        <v>0</v>
      </c>
      <c r="E99" s="909">
        <f>C99-D99</f>
        <v>0</v>
      </c>
      <c r="F99" s="166"/>
      <c r="G99" s="459"/>
      <c r="H99" s="168"/>
      <c r="I99" s="458"/>
      <c r="J99" s="152"/>
      <c r="K99" s="153"/>
      <c r="L99" s="153"/>
      <c r="N99" s="153"/>
    </row>
    <row r="100" spans="1:14" s="147" customFormat="1" ht="15.75" customHeight="1">
      <c r="A100" s="178"/>
      <c r="B100" s="192" t="s">
        <v>1194</v>
      </c>
      <c r="C100" s="909">
        <f t="shared" si="4"/>
        <v>42000000</v>
      </c>
      <c r="D100" s="918">
        <v>42000000</v>
      </c>
      <c r="E100" s="909">
        <f>C100-D100</f>
        <v>0</v>
      </c>
      <c r="F100" s="181" t="s">
        <v>193</v>
      </c>
      <c r="G100" s="460"/>
      <c r="H100" s="182"/>
      <c r="I100" s="194">
        <f>+'20년 추경지출(대전)'!H54</f>
        <v>42000000</v>
      </c>
      <c r="J100" s="152"/>
      <c r="K100" s="153"/>
      <c r="L100" s="153"/>
      <c r="N100" s="153"/>
    </row>
    <row r="101" spans="1:14" s="147" customFormat="1" ht="15.75" customHeight="1">
      <c r="A101" s="178" t="s">
        <v>340</v>
      </c>
      <c r="B101" s="192"/>
      <c r="C101" s="916">
        <f>SUM(C102:C117)</f>
        <v>66161000000</v>
      </c>
      <c r="D101" s="916">
        <f>SUM(D102:D117)</f>
        <v>66161000000</v>
      </c>
      <c r="E101" s="916">
        <f>C101-D101</f>
        <v>0</v>
      </c>
      <c r="F101" s="181"/>
      <c r="G101" s="460"/>
      <c r="H101" s="182"/>
      <c r="I101" s="473"/>
      <c r="J101" s="152"/>
      <c r="K101" s="153"/>
      <c r="L101" s="153"/>
      <c r="N101" s="153"/>
    </row>
    <row r="102" spans="1:14" s="147" customFormat="1" ht="15.75" customHeight="1">
      <c r="A102" s="170"/>
      <c r="B102" s="183" t="s">
        <v>194</v>
      </c>
      <c r="C102" s="912">
        <f>+I104</f>
        <v>32000000000</v>
      </c>
      <c r="D102" s="917">
        <v>32000000000</v>
      </c>
      <c r="E102" s="912">
        <f>C102-D102</f>
        <v>0</v>
      </c>
      <c r="F102" s="184" t="s">
        <v>195</v>
      </c>
      <c r="G102" s="189">
        <f>I102/H102</f>
        <v>83333333.33333333</v>
      </c>
      <c r="H102" s="185">
        <v>12</v>
      </c>
      <c r="I102" s="474">
        <v>1000000000</v>
      </c>
      <c r="J102" s="152"/>
      <c r="K102" s="153"/>
      <c r="L102" s="1028" t="s">
        <v>564</v>
      </c>
      <c r="N102" s="153"/>
    </row>
    <row r="103" spans="1:14" s="147" customFormat="1" ht="15.75" customHeight="1">
      <c r="A103" s="171"/>
      <c r="B103" s="186"/>
      <c r="C103" s="914"/>
      <c r="D103" s="915"/>
      <c r="E103" s="914"/>
      <c r="F103" s="187" t="s">
        <v>196</v>
      </c>
      <c r="G103" s="190">
        <f aca="true" t="shared" si="5" ref="G103:G110">I103/H103</f>
        <v>2583333333.3333335</v>
      </c>
      <c r="H103" s="188">
        <v>12</v>
      </c>
      <c r="I103" s="191">
        <v>31000000000</v>
      </c>
      <c r="J103" s="213"/>
      <c r="K103" s="153"/>
      <c r="L103" s="1029"/>
      <c r="N103" s="153"/>
    </row>
    <row r="104" spans="1:14" s="147" customFormat="1" ht="15.75" customHeight="1">
      <c r="A104" s="171"/>
      <c r="B104" s="192"/>
      <c r="C104" s="916"/>
      <c r="D104" s="918"/>
      <c r="E104" s="916"/>
      <c r="F104" s="193" t="s">
        <v>147</v>
      </c>
      <c r="G104" s="461"/>
      <c r="H104" s="195"/>
      <c r="I104" s="194">
        <f>SUM(I102:I103)</f>
        <v>32000000000</v>
      </c>
      <c r="J104" s="214"/>
      <c r="K104" s="153"/>
      <c r="L104" s="1029"/>
      <c r="N104" s="153"/>
    </row>
    <row r="105" spans="1:14" s="147" customFormat="1" ht="15.75" customHeight="1">
      <c r="A105" s="171"/>
      <c r="B105" s="183" t="s">
        <v>197</v>
      </c>
      <c r="C105" s="912">
        <f>+I111</f>
        <v>18401000000</v>
      </c>
      <c r="D105" s="915">
        <v>18401000000</v>
      </c>
      <c r="E105" s="912">
        <f>C105-D105</f>
        <v>0</v>
      </c>
      <c r="F105" s="184" t="s">
        <v>198</v>
      </c>
      <c r="G105" s="189">
        <f t="shared" si="5"/>
        <v>1086166666.6666667</v>
      </c>
      <c r="H105" s="185">
        <v>12</v>
      </c>
      <c r="I105" s="474">
        <v>13034000000</v>
      </c>
      <c r="J105" s="213"/>
      <c r="K105" s="153"/>
      <c r="L105" s="1029"/>
      <c r="N105" s="153"/>
    </row>
    <row r="106" spans="1:14" s="147" customFormat="1" ht="15.75" customHeight="1">
      <c r="A106" s="171"/>
      <c r="B106" s="186"/>
      <c r="C106" s="914"/>
      <c r="D106" s="915"/>
      <c r="E106" s="914"/>
      <c r="F106" s="187" t="s">
        <v>199</v>
      </c>
      <c r="G106" s="190">
        <f t="shared" si="5"/>
        <v>9916666.666666666</v>
      </c>
      <c r="H106" s="188">
        <v>12</v>
      </c>
      <c r="I106" s="191">
        <v>119000000</v>
      </c>
      <c r="J106" s="213"/>
      <c r="K106" s="153"/>
      <c r="L106" s="1029"/>
      <c r="N106" s="153"/>
    </row>
    <row r="107" spans="1:14" s="147" customFormat="1" ht="15.75" customHeight="1">
      <c r="A107" s="171"/>
      <c r="B107" s="186"/>
      <c r="C107" s="914"/>
      <c r="D107" s="915"/>
      <c r="E107" s="914"/>
      <c r="F107" s="187" t="s">
        <v>200</v>
      </c>
      <c r="G107" s="190">
        <f t="shared" si="5"/>
        <v>6666666.666666667</v>
      </c>
      <c r="H107" s="188">
        <v>12</v>
      </c>
      <c r="I107" s="191">
        <v>80000000</v>
      </c>
      <c r="J107" s="213"/>
      <c r="K107" s="153"/>
      <c r="L107" s="1029"/>
      <c r="N107" s="153"/>
    </row>
    <row r="108" spans="1:14" s="147" customFormat="1" ht="15.75" customHeight="1">
      <c r="A108" s="171"/>
      <c r="B108" s="186"/>
      <c r="C108" s="914"/>
      <c r="D108" s="915"/>
      <c r="E108" s="914"/>
      <c r="F108" s="187" t="s">
        <v>201</v>
      </c>
      <c r="G108" s="190">
        <f t="shared" si="5"/>
        <v>314000000</v>
      </c>
      <c r="H108" s="188">
        <v>12</v>
      </c>
      <c r="I108" s="191">
        <v>3768000000</v>
      </c>
      <c r="J108" s="213"/>
      <c r="K108" s="153"/>
      <c r="L108" s="1029"/>
      <c r="N108" s="153"/>
    </row>
    <row r="109" spans="1:14" s="147" customFormat="1" ht="15.75" customHeight="1">
      <c r="A109" s="171"/>
      <c r="B109" s="186"/>
      <c r="C109" s="914"/>
      <c r="D109" s="915"/>
      <c r="E109" s="914"/>
      <c r="F109" s="187" t="s">
        <v>202</v>
      </c>
      <c r="G109" s="190">
        <f t="shared" si="5"/>
        <v>45833333.333333336</v>
      </c>
      <c r="H109" s="188">
        <v>12</v>
      </c>
      <c r="I109" s="191">
        <v>550000000</v>
      </c>
      <c r="J109" s="213"/>
      <c r="K109" s="153"/>
      <c r="L109" s="1029"/>
      <c r="N109" s="153"/>
    </row>
    <row r="110" spans="1:14" s="147" customFormat="1" ht="15.75" customHeight="1">
      <c r="A110" s="171"/>
      <c r="B110" s="186"/>
      <c r="C110" s="914"/>
      <c r="D110" s="915"/>
      <c r="E110" s="914"/>
      <c r="F110" s="187" t="s">
        <v>203</v>
      </c>
      <c r="G110" s="190">
        <f t="shared" si="5"/>
        <v>70833333.33333333</v>
      </c>
      <c r="H110" s="188">
        <v>12</v>
      </c>
      <c r="I110" s="191">
        <v>850000000</v>
      </c>
      <c r="J110" s="213"/>
      <c r="K110" s="153"/>
      <c r="L110" s="1029"/>
      <c r="N110" s="153"/>
    </row>
    <row r="111" spans="1:14" s="147" customFormat="1" ht="15.75" customHeight="1">
      <c r="A111" s="171"/>
      <c r="B111" s="192"/>
      <c r="C111" s="916"/>
      <c r="D111" s="918"/>
      <c r="E111" s="916"/>
      <c r="F111" s="193" t="s">
        <v>147</v>
      </c>
      <c r="G111" s="461"/>
      <c r="H111" s="195"/>
      <c r="I111" s="194">
        <f>SUM(I105:I110)</f>
        <v>18401000000</v>
      </c>
      <c r="J111" s="214"/>
      <c r="K111" s="153"/>
      <c r="L111" s="1029"/>
      <c r="N111" s="153"/>
    </row>
    <row r="112" spans="1:14" s="147" customFormat="1" ht="15.75" customHeight="1">
      <c r="A112" s="171"/>
      <c r="B112" s="209" t="s">
        <v>204</v>
      </c>
      <c r="C112" s="912">
        <f>+I114</f>
        <v>10000000000</v>
      </c>
      <c r="D112" s="917">
        <v>10000000000</v>
      </c>
      <c r="E112" s="914">
        <f>C112-D112</f>
        <v>0</v>
      </c>
      <c r="F112" s="184" t="s">
        <v>205</v>
      </c>
      <c r="G112" s="189">
        <f>I112/H112</f>
        <v>825000000</v>
      </c>
      <c r="H112" s="185">
        <v>12</v>
      </c>
      <c r="I112" s="474">
        <v>9900000000</v>
      </c>
      <c r="J112" s="213"/>
      <c r="K112" s="153"/>
      <c r="L112" s="1029"/>
      <c r="N112" s="153"/>
    </row>
    <row r="113" spans="1:14" s="147" customFormat="1" ht="15.75" customHeight="1">
      <c r="A113" s="171"/>
      <c r="B113" s="186"/>
      <c r="C113" s="914"/>
      <c r="D113" s="915"/>
      <c r="E113" s="914"/>
      <c r="F113" s="187" t="s">
        <v>206</v>
      </c>
      <c r="G113" s="190">
        <f>I113/H113</f>
        <v>8333333.333333333</v>
      </c>
      <c r="H113" s="188">
        <v>12</v>
      </c>
      <c r="I113" s="191">
        <v>100000000</v>
      </c>
      <c r="J113" s="215"/>
      <c r="K113" s="153"/>
      <c r="L113" s="1029"/>
      <c r="N113" s="153"/>
    </row>
    <row r="114" spans="1:14" s="147" customFormat="1" ht="15.75" customHeight="1">
      <c r="A114" s="171"/>
      <c r="B114" s="186"/>
      <c r="C114" s="916"/>
      <c r="D114" s="918"/>
      <c r="E114" s="916"/>
      <c r="F114" s="193" t="s">
        <v>147</v>
      </c>
      <c r="G114" s="460"/>
      <c r="H114" s="182"/>
      <c r="I114" s="194">
        <f>I112+I113</f>
        <v>10000000000</v>
      </c>
      <c r="J114" s="214"/>
      <c r="K114" s="153"/>
      <c r="L114" s="1030"/>
      <c r="N114" s="153"/>
    </row>
    <row r="115" spans="1:14" s="147" customFormat="1" ht="15.75" customHeight="1">
      <c r="A115" s="171"/>
      <c r="B115" s="165" t="s">
        <v>576</v>
      </c>
      <c r="C115" s="909">
        <f>+I115</f>
        <v>1610000000</v>
      </c>
      <c r="D115" s="910">
        <v>1610000000</v>
      </c>
      <c r="E115" s="916">
        <f aca="true" t="shared" si="6" ref="E115:E120">C115-D115</f>
        <v>0</v>
      </c>
      <c r="F115" s="166" t="s">
        <v>207</v>
      </c>
      <c r="G115" s="459">
        <f>I115/H115</f>
        <v>134166666.66666667</v>
      </c>
      <c r="H115" s="168">
        <v>12</v>
      </c>
      <c r="I115" s="478">
        <f>+'20년 추경지출(대전)'!H59</f>
        <v>1610000000</v>
      </c>
      <c r="J115" s="215"/>
      <c r="K115" s="153"/>
      <c r="L115" s="153"/>
      <c r="N115" s="153"/>
    </row>
    <row r="116" spans="1:14" s="147" customFormat="1" ht="15.75" customHeight="1">
      <c r="A116" s="171"/>
      <c r="B116" s="165" t="s">
        <v>577</v>
      </c>
      <c r="C116" s="909">
        <f>+I116</f>
        <v>2075000000</v>
      </c>
      <c r="D116" s="910">
        <v>2075000000</v>
      </c>
      <c r="E116" s="909">
        <f t="shared" si="6"/>
        <v>0</v>
      </c>
      <c r="F116" s="166" t="s">
        <v>208</v>
      </c>
      <c r="G116" s="459">
        <f>I116/H116</f>
        <v>172916666.66666666</v>
      </c>
      <c r="H116" s="168">
        <v>12</v>
      </c>
      <c r="I116" s="478">
        <f>+'20년 추경지출(대전)'!H60</f>
        <v>2075000000</v>
      </c>
      <c r="J116" s="215"/>
      <c r="K116" s="153"/>
      <c r="L116" s="1031" t="s">
        <v>571</v>
      </c>
      <c r="M116" s="1031"/>
      <c r="N116" s="153"/>
    </row>
    <row r="117" spans="1:14" s="147" customFormat="1" ht="15.75" customHeight="1">
      <c r="A117" s="249"/>
      <c r="B117" s="250" t="s">
        <v>209</v>
      </c>
      <c r="C117" s="926">
        <f>+I117</f>
        <v>2075000000</v>
      </c>
      <c r="D117" s="920">
        <v>2075000000</v>
      </c>
      <c r="E117" s="919">
        <f t="shared" si="6"/>
        <v>0</v>
      </c>
      <c r="F117" s="251" t="s">
        <v>210</v>
      </c>
      <c r="G117" s="462">
        <f>I117/H117</f>
        <v>172916666.66666666</v>
      </c>
      <c r="H117" s="252">
        <v>12</v>
      </c>
      <c r="I117" s="255">
        <f>+'20년 추경지출(대전)'!H61</f>
        <v>2075000000</v>
      </c>
      <c r="J117" s="215"/>
      <c r="K117" s="153"/>
      <c r="L117" s="1031"/>
      <c r="M117" s="1031"/>
      <c r="N117" s="153"/>
    </row>
    <row r="118" spans="1:15" s="147" customFormat="1" ht="15.75" customHeight="1">
      <c r="A118" s="179" t="s">
        <v>211</v>
      </c>
      <c r="B118" s="180"/>
      <c r="C118" s="911">
        <f>+C119</f>
        <v>1719000000</v>
      </c>
      <c r="D118" s="927">
        <f>+D119</f>
        <v>1265000000</v>
      </c>
      <c r="E118" s="911">
        <f t="shared" si="6"/>
        <v>454000000</v>
      </c>
      <c r="F118" s="181"/>
      <c r="G118" s="460"/>
      <c r="H118" s="182"/>
      <c r="I118" s="473"/>
      <c r="J118" s="152"/>
      <c r="K118" s="153"/>
      <c r="L118" s="153"/>
      <c r="N118" s="153"/>
      <c r="O118" s="150"/>
    </row>
    <row r="119" spans="1:14" s="147" customFormat="1" ht="15.75" customHeight="1">
      <c r="A119" s="164" t="s">
        <v>212</v>
      </c>
      <c r="B119" s="165"/>
      <c r="C119" s="909">
        <f>SUM(C120:C121)</f>
        <v>1719000000</v>
      </c>
      <c r="D119" s="910">
        <v>1265000000</v>
      </c>
      <c r="E119" s="909">
        <f t="shared" si="6"/>
        <v>454000000</v>
      </c>
      <c r="F119" s="166"/>
      <c r="G119" s="459"/>
      <c r="H119" s="168"/>
      <c r="I119" s="458"/>
      <c r="J119" s="152"/>
      <c r="K119" s="153"/>
      <c r="L119" s="153"/>
      <c r="N119" s="153"/>
    </row>
    <row r="120" spans="1:14" s="147" customFormat="1" ht="15.75" customHeight="1">
      <c r="A120" s="171"/>
      <c r="B120" s="192" t="s">
        <v>213</v>
      </c>
      <c r="C120" s="916">
        <f>+I120</f>
        <v>1719000000</v>
      </c>
      <c r="D120" s="910">
        <v>1265000000</v>
      </c>
      <c r="E120" s="916">
        <f t="shared" si="6"/>
        <v>454000000</v>
      </c>
      <c r="F120" s="181" t="s">
        <v>214</v>
      </c>
      <c r="G120" s="460">
        <f>I120/H120</f>
        <v>143250000</v>
      </c>
      <c r="H120" s="182">
        <v>12</v>
      </c>
      <c r="I120" s="194">
        <f>+'20년 추경지출(대전)'!H64</f>
        <v>1719000000</v>
      </c>
      <c r="J120" s="152"/>
      <c r="K120" s="153"/>
      <c r="L120" s="153"/>
      <c r="N120" s="153"/>
    </row>
    <row r="121" spans="1:14" s="147" customFormat="1" ht="15.75" customHeight="1">
      <c r="A121" s="171"/>
      <c r="B121" s="183" t="s">
        <v>215</v>
      </c>
      <c r="C121" s="909">
        <v>0</v>
      </c>
      <c r="D121" s="910">
        <v>0</v>
      </c>
      <c r="E121" s="909">
        <f>C121-D121</f>
        <v>0</v>
      </c>
      <c r="F121" s="184"/>
      <c r="G121" s="189"/>
      <c r="H121" s="185"/>
      <c r="I121" s="474"/>
      <c r="J121" s="152"/>
      <c r="K121" s="153"/>
      <c r="L121" s="153"/>
      <c r="N121" s="153"/>
    </row>
    <row r="122" spans="1:15" s="147" customFormat="1" ht="15.75" customHeight="1">
      <c r="A122" s="216" t="s">
        <v>216</v>
      </c>
      <c r="B122" s="217"/>
      <c r="C122" s="928">
        <f>SUM(C123+C125)</f>
        <v>3500000000</v>
      </c>
      <c r="D122" s="928">
        <f>SUM(D123+D125)</f>
        <v>3500000000</v>
      </c>
      <c r="E122" s="928">
        <f>C122-D122</f>
        <v>0</v>
      </c>
      <c r="F122" s="166"/>
      <c r="G122" s="459"/>
      <c r="H122" s="168"/>
      <c r="I122" s="458"/>
      <c r="J122" s="152"/>
      <c r="K122" s="153"/>
      <c r="L122" s="153"/>
      <c r="N122" s="153"/>
      <c r="O122" s="150"/>
    </row>
    <row r="123" spans="1:14" s="147" customFormat="1" ht="15.75" customHeight="1">
      <c r="A123" s="164" t="s">
        <v>217</v>
      </c>
      <c r="B123" s="165"/>
      <c r="C123" s="909">
        <f>SUM(C124)</f>
        <v>0</v>
      </c>
      <c r="D123" s="910">
        <v>0</v>
      </c>
      <c r="E123" s="909">
        <f>C123-D123</f>
        <v>0</v>
      </c>
      <c r="F123" s="166"/>
      <c r="G123" s="459"/>
      <c r="H123" s="168"/>
      <c r="I123" s="458"/>
      <c r="J123" s="152"/>
      <c r="K123" s="153"/>
      <c r="L123" s="153"/>
      <c r="N123" s="153"/>
    </row>
    <row r="124" spans="1:14" s="147" customFormat="1" ht="15.75" customHeight="1">
      <c r="A124" s="170"/>
      <c r="B124" s="183" t="s">
        <v>218</v>
      </c>
      <c r="C124" s="912">
        <f>+I124</f>
        <v>0</v>
      </c>
      <c r="D124" s="917">
        <v>0</v>
      </c>
      <c r="E124" s="909">
        <f>C124-D124</f>
        <v>0</v>
      </c>
      <c r="F124" s="218"/>
      <c r="G124" s="466"/>
      <c r="H124" s="219"/>
      <c r="I124" s="474"/>
      <c r="J124" s="152"/>
      <c r="K124" s="153"/>
      <c r="L124" s="153"/>
      <c r="N124" s="153"/>
    </row>
    <row r="125" spans="1:14" s="147" customFormat="1" ht="15.75" customHeight="1">
      <c r="A125" s="164" t="s">
        <v>219</v>
      </c>
      <c r="B125" s="165"/>
      <c r="C125" s="909">
        <f>SUM(C126:C128)</f>
        <v>3500000000</v>
      </c>
      <c r="D125" s="910">
        <f>+D126+D127</f>
        <v>3500000000</v>
      </c>
      <c r="E125" s="909">
        <f>C125-D125</f>
        <v>0</v>
      </c>
      <c r="F125" s="166"/>
      <c r="G125" s="459"/>
      <c r="H125" s="168"/>
      <c r="I125" s="458"/>
      <c r="J125" s="152"/>
      <c r="K125" s="153"/>
      <c r="L125" s="153"/>
      <c r="N125" s="153"/>
    </row>
    <row r="126" spans="1:14" s="147" customFormat="1" ht="15.75" customHeight="1">
      <c r="A126" s="170"/>
      <c r="B126" s="165" t="s">
        <v>220</v>
      </c>
      <c r="C126" s="922">
        <f>+I126</f>
        <v>500000000</v>
      </c>
      <c r="D126" s="910">
        <v>500000000</v>
      </c>
      <c r="E126" s="909">
        <f>C126-D126</f>
        <v>0</v>
      </c>
      <c r="F126" s="200" t="s">
        <v>572</v>
      </c>
      <c r="G126" s="464"/>
      <c r="H126" s="201"/>
      <c r="I126" s="476">
        <f>+'20년 추경지출(대전)'!H69</f>
        <v>500000000</v>
      </c>
      <c r="J126" s="152"/>
      <c r="K126" s="153"/>
      <c r="L126" s="153"/>
      <c r="N126" s="153"/>
    </row>
    <row r="127" spans="1:14" s="147" customFormat="1" ht="15.75" customHeight="1">
      <c r="A127" s="171"/>
      <c r="B127" s="165" t="s">
        <v>221</v>
      </c>
      <c r="C127" s="909">
        <f>+I127</f>
        <v>3000000000</v>
      </c>
      <c r="D127" s="910">
        <v>3000000000</v>
      </c>
      <c r="E127" s="909">
        <f>C127-D127</f>
        <v>0</v>
      </c>
      <c r="F127" s="200" t="s">
        <v>222</v>
      </c>
      <c r="G127" s="467">
        <f>+I127/H127</f>
        <v>250000000</v>
      </c>
      <c r="H127" s="220">
        <v>12</v>
      </c>
      <c r="I127" s="476">
        <v>3000000000</v>
      </c>
      <c r="J127" s="213"/>
      <c r="K127" s="153"/>
      <c r="L127" s="153"/>
      <c r="N127" s="153"/>
    </row>
    <row r="128" spans="1:14" s="147" customFormat="1" ht="15.75" customHeight="1">
      <c r="A128" s="178"/>
      <c r="B128" s="165" t="s">
        <v>223</v>
      </c>
      <c r="C128" s="909">
        <f>+I128</f>
        <v>0</v>
      </c>
      <c r="D128" s="910">
        <v>0</v>
      </c>
      <c r="E128" s="909">
        <f>C128-D128</f>
        <v>0</v>
      </c>
      <c r="F128" s="246"/>
      <c r="G128" s="468"/>
      <c r="H128" s="247"/>
      <c r="I128" s="479"/>
      <c r="J128" s="152"/>
      <c r="K128" s="153"/>
      <c r="L128" s="153"/>
      <c r="N128" s="153"/>
    </row>
    <row r="129" spans="1:15" s="147" customFormat="1" ht="15.75" customHeight="1">
      <c r="A129" s="179" t="s">
        <v>224</v>
      </c>
      <c r="B129" s="180"/>
      <c r="C129" s="911">
        <f>SUM(C130)</f>
        <v>12210000000</v>
      </c>
      <c r="D129" s="911">
        <f>SUM(D130)</f>
        <v>12210000000</v>
      </c>
      <c r="E129" s="911">
        <f>C129-D129</f>
        <v>0</v>
      </c>
      <c r="F129" s="181"/>
      <c r="G129" s="460"/>
      <c r="H129" s="182"/>
      <c r="I129" s="473"/>
      <c r="J129" s="152"/>
      <c r="K129" s="153"/>
      <c r="L129" s="153"/>
      <c r="N129" s="153"/>
      <c r="O129" s="150"/>
    </row>
    <row r="130" spans="1:14" s="147" customFormat="1" ht="15.75" customHeight="1">
      <c r="A130" s="164" t="s">
        <v>225</v>
      </c>
      <c r="B130" s="165"/>
      <c r="C130" s="909">
        <f>SUM(C131:C138)</f>
        <v>12210000000</v>
      </c>
      <c r="D130" s="909">
        <f>SUM(D131:D138)</f>
        <v>12210000000</v>
      </c>
      <c r="E130" s="909">
        <f>C130-D130</f>
        <v>0</v>
      </c>
      <c r="F130" s="166"/>
      <c r="G130" s="459"/>
      <c r="H130" s="168"/>
      <c r="I130" s="458"/>
      <c r="J130" s="152"/>
      <c r="K130" s="153"/>
      <c r="L130" s="153"/>
      <c r="N130" s="153"/>
    </row>
    <row r="131" spans="1:14" s="147" customFormat="1" ht="15.75" customHeight="1">
      <c r="A131" s="170"/>
      <c r="B131" s="208" t="s">
        <v>226</v>
      </c>
      <c r="C131" s="923">
        <f>+I133</f>
        <v>5500000000</v>
      </c>
      <c r="D131" s="915">
        <v>5500000000</v>
      </c>
      <c r="E131" s="912">
        <f>C131-D131</f>
        <v>0</v>
      </c>
      <c r="F131" s="187" t="s">
        <v>579</v>
      </c>
      <c r="G131" s="190"/>
      <c r="H131" s="188"/>
      <c r="I131" s="191">
        <f>+'20년 추경지출(대전)'!H75</f>
        <v>5500000000</v>
      </c>
      <c r="J131" s="152"/>
      <c r="K131" s="153"/>
      <c r="L131" s="153"/>
      <c r="N131" s="153"/>
    </row>
    <row r="132" spans="1:14" s="147" customFormat="1" ht="15.75" customHeight="1" hidden="1">
      <c r="A132" s="171"/>
      <c r="B132" s="209"/>
      <c r="C132" s="929"/>
      <c r="D132" s="915"/>
      <c r="E132" s="914"/>
      <c r="F132" s="188"/>
      <c r="G132" s="190"/>
      <c r="H132" s="188"/>
      <c r="I132" s="191"/>
      <c r="J132" s="152"/>
      <c r="K132" s="153"/>
      <c r="L132" s="153"/>
      <c r="N132" s="153"/>
    </row>
    <row r="133" spans="1:14" s="147" customFormat="1" ht="15.75" customHeight="1" hidden="1">
      <c r="A133" s="171"/>
      <c r="B133" s="186"/>
      <c r="C133" s="914"/>
      <c r="D133" s="915"/>
      <c r="E133" s="916"/>
      <c r="F133" s="204" t="s">
        <v>266</v>
      </c>
      <c r="G133" s="465"/>
      <c r="H133" s="204"/>
      <c r="I133" s="205">
        <f>+I132+I131</f>
        <v>5500000000</v>
      </c>
      <c r="J133" s="152"/>
      <c r="K133" s="153"/>
      <c r="L133" s="153"/>
      <c r="N133" s="153"/>
    </row>
    <row r="134" spans="1:14" s="147" customFormat="1" ht="15.75" customHeight="1">
      <c r="A134" s="171"/>
      <c r="B134" s="165" t="s">
        <v>227</v>
      </c>
      <c r="C134" s="909">
        <f>+I134</f>
        <v>0</v>
      </c>
      <c r="D134" s="910">
        <v>0</v>
      </c>
      <c r="E134" s="909">
        <f aca="true" t="shared" si="7" ref="E134:E149">C134-D134</f>
        <v>0</v>
      </c>
      <c r="F134" s="166"/>
      <c r="G134" s="459"/>
      <c r="H134" s="168" t="s">
        <v>20</v>
      </c>
      <c r="I134" s="458"/>
      <c r="J134" s="152"/>
      <c r="K134" s="153"/>
      <c r="L134" s="153"/>
      <c r="N134" s="153"/>
    </row>
    <row r="135" spans="1:14" s="147" customFormat="1" ht="15.75" customHeight="1">
      <c r="A135" s="171"/>
      <c r="B135" s="192" t="s">
        <v>228</v>
      </c>
      <c r="C135" s="916">
        <f>+I135</f>
        <v>0</v>
      </c>
      <c r="D135" s="918">
        <v>0</v>
      </c>
      <c r="E135" s="909">
        <f t="shared" si="7"/>
        <v>0</v>
      </c>
      <c r="F135" s="181"/>
      <c r="G135" s="460"/>
      <c r="H135" s="182"/>
      <c r="I135" s="473"/>
      <c r="J135" s="152"/>
      <c r="K135" s="153"/>
      <c r="L135" s="153"/>
      <c r="N135" s="153"/>
    </row>
    <row r="136" spans="1:14" s="147" customFormat="1" ht="15.75" customHeight="1">
      <c r="A136" s="171"/>
      <c r="B136" s="165" t="s">
        <v>294</v>
      </c>
      <c r="C136" s="909">
        <f>+I136</f>
        <v>6710000000</v>
      </c>
      <c r="D136" s="910">
        <v>6710000000</v>
      </c>
      <c r="E136" s="909">
        <f>C136-D136</f>
        <v>0</v>
      </c>
      <c r="F136" s="168" t="s">
        <v>579</v>
      </c>
      <c r="G136" s="464"/>
      <c r="H136" s="201"/>
      <c r="I136" s="792">
        <f>+'20년 추경지출(대전)'!H77</f>
        <v>6710000000</v>
      </c>
      <c r="J136" s="152"/>
      <c r="K136" s="153"/>
      <c r="L136" s="153"/>
      <c r="N136" s="153"/>
    </row>
    <row r="137" spans="1:14" s="147" customFormat="1" ht="15.75" customHeight="1" hidden="1">
      <c r="A137" s="171"/>
      <c r="B137" s="186"/>
      <c r="C137" s="914"/>
      <c r="D137" s="915"/>
      <c r="E137" s="914"/>
      <c r="F137" s="188"/>
      <c r="G137" s="469"/>
      <c r="H137" s="221"/>
      <c r="I137" s="480"/>
      <c r="J137" s="152"/>
      <c r="K137" s="153"/>
      <c r="L137" s="153"/>
      <c r="N137" s="153"/>
    </row>
    <row r="138" spans="1:14" s="147" customFormat="1" ht="15.75" customHeight="1" hidden="1">
      <c r="A138" s="178"/>
      <c r="B138" s="192"/>
      <c r="C138" s="916"/>
      <c r="D138" s="918"/>
      <c r="E138" s="916"/>
      <c r="F138" s="193" t="s">
        <v>266</v>
      </c>
      <c r="G138" s="460"/>
      <c r="H138" s="182"/>
      <c r="I138" s="194">
        <f>SUM(I136:I137)</f>
        <v>6710000000</v>
      </c>
      <c r="J138" s="152"/>
      <c r="K138" s="153"/>
      <c r="L138" s="153"/>
      <c r="N138" s="153"/>
    </row>
    <row r="139" spans="1:15" s="147" customFormat="1" ht="15.75" customHeight="1">
      <c r="A139" s="179" t="s">
        <v>229</v>
      </c>
      <c r="B139" s="192"/>
      <c r="C139" s="911">
        <f>SUM(C140)</f>
        <v>5000000000</v>
      </c>
      <c r="D139" s="927">
        <v>5000000000</v>
      </c>
      <c r="E139" s="911">
        <f>C139-D139</f>
        <v>0</v>
      </c>
      <c r="F139" s="181"/>
      <c r="G139" s="460"/>
      <c r="H139" s="182"/>
      <c r="I139" s="473"/>
      <c r="J139" s="152"/>
      <c r="K139" s="153"/>
      <c r="L139" s="153"/>
      <c r="N139" s="153"/>
      <c r="O139" s="150"/>
    </row>
    <row r="140" spans="1:14" s="147" customFormat="1" ht="15.75" customHeight="1">
      <c r="A140" s="164" t="s">
        <v>230</v>
      </c>
      <c r="B140" s="165"/>
      <c r="C140" s="909">
        <f>SUM(C141)</f>
        <v>5000000000</v>
      </c>
      <c r="D140" s="910">
        <v>5000000000</v>
      </c>
      <c r="E140" s="909">
        <f>C140-D140</f>
        <v>0</v>
      </c>
      <c r="F140" s="166"/>
      <c r="G140" s="459"/>
      <c r="H140" s="168"/>
      <c r="I140" s="458"/>
      <c r="J140" s="152"/>
      <c r="K140" s="153"/>
      <c r="L140" s="153"/>
      <c r="N140" s="153"/>
    </row>
    <row r="141" spans="1:14" s="147" customFormat="1" ht="15.75" customHeight="1">
      <c r="A141" s="178"/>
      <c r="B141" s="192" t="s">
        <v>231</v>
      </c>
      <c r="C141" s="916">
        <f>+I141</f>
        <v>5000000000</v>
      </c>
      <c r="D141" s="910">
        <v>5000000000</v>
      </c>
      <c r="E141" s="916">
        <f>C141-D141</f>
        <v>0</v>
      </c>
      <c r="F141" s="181"/>
      <c r="G141" s="460"/>
      <c r="H141" s="182"/>
      <c r="I141" s="194">
        <v>5000000000</v>
      </c>
      <c r="J141" s="152"/>
      <c r="K141" s="153"/>
      <c r="L141" s="153"/>
      <c r="N141" s="153"/>
    </row>
    <row r="142" spans="1:14" s="147" customFormat="1" ht="15.75" customHeight="1">
      <c r="A142" s="216" t="s">
        <v>232</v>
      </c>
      <c r="B142" s="217"/>
      <c r="C142" s="928">
        <f>C143+C146</f>
        <v>67647000000</v>
      </c>
      <c r="D142" s="930">
        <v>0</v>
      </c>
      <c r="E142" s="928">
        <f t="shared" si="7"/>
        <v>67647000000</v>
      </c>
      <c r="F142" s="166"/>
      <c r="G142" s="459"/>
      <c r="H142" s="168"/>
      <c r="I142" s="458"/>
      <c r="J142" s="152"/>
      <c r="K142" s="153"/>
      <c r="L142" s="153"/>
      <c r="N142" s="153"/>
    </row>
    <row r="143" spans="1:14" s="147" customFormat="1" ht="15.75" customHeight="1">
      <c r="A143" s="164" t="s">
        <v>233</v>
      </c>
      <c r="B143" s="165"/>
      <c r="C143" s="909">
        <f>SUM(C144:C145)</f>
        <v>66775000000</v>
      </c>
      <c r="D143" s="910">
        <v>0</v>
      </c>
      <c r="E143" s="909">
        <f t="shared" si="7"/>
        <v>66775000000</v>
      </c>
      <c r="F143" s="166"/>
      <c r="G143" s="459"/>
      <c r="H143" s="168"/>
      <c r="I143" s="458"/>
      <c r="J143" s="152"/>
      <c r="K143" s="153"/>
      <c r="L143" s="153"/>
      <c r="N143" s="153"/>
    </row>
    <row r="144" spans="1:14" s="147" customFormat="1" ht="15.75" customHeight="1">
      <c r="A144" s="216"/>
      <c r="B144" s="165" t="s">
        <v>234</v>
      </c>
      <c r="C144" s="909">
        <f>I144</f>
        <v>0</v>
      </c>
      <c r="D144" s="910">
        <v>0</v>
      </c>
      <c r="E144" s="909">
        <f t="shared" si="7"/>
        <v>0</v>
      </c>
      <c r="F144" s="166"/>
      <c r="G144" s="459"/>
      <c r="H144" s="168"/>
      <c r="I144" s="458"/>
      <c r="J144" s="152"/>
      <c r="K144" s="153"/>
      <c r="L144" s="153"/>
      <c r="N144" s="153"/>
    </row>
    <row r="145" spans="1:14" s="147" customFormat="1" ht="15.75" customHeight="1">
      <c r="A145" s="216"/>
      <c r="B145" s="165" t="s">
        <v>824</v>
      </c>
      <c r="C145" s="909">
        <f>+I145</f>
        <v>66775000000</v>
      </c>
      <c r="D145" s="918">
        <v>0</v>
      </c>
      <c r="E145" s="909">
        <f t="shared" si="7"/>
        <v>66775000000</v>
      </c>
      <c r="F145" s="166" t="s">
        <v>825</v>
      </c>
      <c r="G145" s="459"/>
      <c r="H145" s="168"/>
      <c r="I145" s="458">
        <f>+'20년 추경지출(대전)'!H83</f>
        <v>66775000000</v>
      </c>
      <c r="J145" s="152"/>
      <c r="K145" s="153"/>
      <c r="L145" s="153"/>
      <c r="N145" s="153"/>
    </row>
    <row r="146" spans="1:14" s="147" customFormat="1" ht="15.75" customHeight="1">
      <c r="A146" s="164" t="s">
        <v>235</v>
      </c>
      <c r="B146" s="165"/>
      <c r="C146" s="909">
        <f>SUM(C147:C149)</f>
        <v>872000000</v>
      </c>
      <c r="D146" s="910">
        <v>0</v>
      </c>
      <c r="E146" s="909">
        <f t="shared" si="7"/>
        <v>872000000</v>
      </c>
      <c r="F146" s="166"/>
      <c r="G146" s="459"/>
      <c r="H146" s="168"/>
      <c r="I146" s="458"/>
      <c r="J146" s="152"/>
      <c r="K146" s="153"/>
      <c r="L146" s="153"/>
      <c r="N146" s="153"/>
    </row>
    <row r="147" spans="1:14" s="147" customFormat="1" ht="15.75" customHeight="1">
      <c r="A147" s="170"/>
      <c r="B147" s="165" t="s">
        <v>236</v>
      </c>
      <c r="C147" s="909">
        <f>+I147</f>
        <v>0</v>
      </c>
      <c r="D147" s="910">
        <v>0</v>
      </c>
      <c r="E147" s="909">
        <f t="shared" si="7"/>
        <v>0</v>
      </c>
      <c r="F147" s="166"/>
      <c r="G147" s="459"/>
      <c r="H147" s="168"/>
      <c r="I147" s="458"/>
      <c r="J147" s="152"/>
      <c r="K147" s="153"/>
      <c r="L147" s="153"/>
      <c r="N147" s="153"/>
    </row>
    <row r="148" spans="1:14" s="147" customFormat="1" ht="15.75" customHeight="1">
      <c r="A148" s="171"/>
      <c r="B148" s="165" t="s">
        <v>237</v>
      </c>
      <c r="C148" s="909">
        <f>+I148</f>
        <v>872000000</v>
      </c>
      <c r="D148" s="910">
        <v>0</v>
      </c>
      <c r="E148" s="909">
        <f t="shared" si="7"/>
        <v>872000000</v>
      </c>
      <c r="F148" s="166" t="s">
        <v>841</v>
      </c>
      <c r="G148" s="459"/>
      <c r="H148" s="168"/>
      <c r="I148" s="458">
        <f>+'20년 추경지출(대전)'!H88</f>
        <v>872000000</v>
      </c>
      <c r="J148" s="152"/>
      <c r="K148" s="153"/>
      <c r="L148" s="153"/>
      <c r="N148" s="153"/>
    </row>
    <row r="149" spans="1:14" s="147" customFormat="1" ht="15.75" customHeight="1">
      <c r="A149" s="178"/>
      <c r="B149" s="165" t="s">
        <v>238</v>
      </c>
      <c r="C149" s="909">
        <f>+I149</f>
        <v>0</v>
      </c>
      <c r="D149" s="910">
        <v>0</v>
      </c>
      <c r="E149" s="909">
        <f t="shared" si="7"/>
        <v>0</v>
      </c>
      <c r="F149" s="166" t="s">
        <v>132</v>
      </c>
      <c r="G149" s="459"/>
      <c r="H149" s="168" t="s">
        <v>132</v>
      </c>
      <c r="I149" s="458"/>
      <c r="J149" s="152"/>
      <c r="K149" s="153"/>
      <c r="L149" s="153"/>
      <c r="N149" s="153"/>
    </row>
    <row r="150" spans="1:15" s="147" customFormat="1" ht="15.75" customHeight="1">
      <c r="A150" s="216" t="s">
        <v>239</v>
      </c>
      <c r="B150" s="217"/>
      <c r="C150" s="928">
        <f>SUM(C151+C183)</f>
        <v>16508000000</v>
      </c>
      <c r="D150" s="928">
        <f>SUM(D151+D183)</f>
        <v>14001000000</v>
      </c>
      <c r="E150" s="928">
        <f>C150-D150</f>
        <v>2507000000</v>
      </c>
      <c r="F150" s="166"/>
      <c r="G150" s="459"/>
      <c r="H150" s="168"/>
      <c r="I150" s="458"/>
      <c r="J150" s="152"/>
      <c r="K150" s="153"/>
      <c r="L150" s="153"/>
      <c r="N150" s="153"/>
      <c r="O150" s="150"/>
    </row>
    <row r="151" spans="1:14" s="147" customFormat="1" ht="15.75" customHeight="1">
      <c r="A151" s="178" t="s">
        <v>240</v>
      </c>
      <c r="B151" s="192"/>
      <c r="C151" s="916">
        <f>+C152+C154+C158+C169+C173+C174+C176</f>
        <v>16233000000</v>
      </c>
      <c r="D151" s="916">
        <f>SUM(D152:D181)</f>
        <v>13801000000</v>
      </c>
      <c r="E151" s="916">
        <f>C151-D151</f>
        <v>2432000000</v>
      </c>
      <c r="F151" s="181"/>
      <c r="G151" s="460"/>
      <c r="H151" s="182"/>
      <c r="I151" s="473"/>
      <c r="J151" s="152"/>
      <c r="K151" s="153"/>
      <c r="L151" s="153"/>
      <c r="N151" s="153"/>
    </row>
    <row r="152" spans="1:14" s="147" customFormat="1" ht="15.75" customHeight="1">
      <c r="A152" s="171"/>
      <c r="B152" s="186" t="s">
        <v>241</v>
      </c>
      <c r="C152" s="923">
        <f>+I153</f>
        <v>42000000</v>
      </c>
      <c r="D152" s="913"/>
      <c r="E152" s="912">
        <f>C152-D152</f>
        <v>42000000</v>
      </c>
      <c r="F152" s="184" t="s">
        <v>830</v>
      </c>
      <c r="G152" s="190"/>
      <c r="H152" s="188"/>
      <c r="I152" s="191">
        <f>+'20년 추경지출(대전)'!H91</f>
        <v>42000000</v>
      </c>
      <c r="J152" s="152"/>
      <c r="K152" s="153"/>
      <c r="L152" s="153"/>
      <c r="N152" s="153"/>
    </row>
    <row r="153" spans="1:14" s="147" customFormat="1" ht="15.75" customHeight="1">
      <c r="A153" s="171"/>
      <c r="B153" s="186"/>
      <c r="C153" s="921"/>
      <c r="D153" s="931"/>
      <c r="E153" s="916"/>
      <c r="F153" s="226" t="s">
        <v>147</v>
      </c>
      <c r="G153" s="470"/>
      <c r="H153" s="227"/>
      <c r="I153" s="793">
        <f>SUM(I152:I152)</f>
        <v>42000000</v>
      </c>
      <c r="J153" s="152"/>
      <c r="K153" s="153"/>
      <c r="L153" s="153"/>
      <c r="N153" s="153"/>
    </row>
    <row r="154" spans="1:14" s="147" customFormat="1" ht="15.75" customHeight="1">
      <c r="A154" s="171"/>
      <c r="B154" s="183" t="s">
        <v>242</v>
      </c>
      <c r="C154" s="929">
        <f>+I157</f>
        <v>2890000000</v>
      </c>
      <c r="D154" s="917">
        <v>1200000000</v>
      </c>
      <c r="E154" s="912">
        <f>C154-D154</f>
        <v>1690000000</v>
      </c>
      <c r="F154" s="184" t="s">
        <v>826</v>
      </c>
      <c r="G154" s="471"/>
      <c r="H154" s="241"/>
      <c r="I154" s="243">
        <v>1843844000</v>
      </c>
      <c r="J154" s="152"/>
      <c r="K154" s="153"/>
      <c r="L154" s="153"/>
      <c r="N154" s="153"/>
    </row>
    <row r="155" spans="1:14" s="147" customFormat="1" ht="15.75" customHeight="1">
      <c r="A155" s="171"/>
      <c r="B155" s="186"/>
      <c r="C155" s="929"/>
      <c r="D155" s="915"/>
      <c r="E155" s="914"/>
      <c r="F155" s="242" t="s">
        <v>830</v>
      </c>
      <c r="G155" s="470"/>
      <c r="H155" s="241"/>
      <c r="I155" s="243">
        <v>86306000</v>
      </c>
      <c r="J155" s="152"/>
      <c r="K155" s="153"/>
      <c r="L155" s="153"/>
      <c r="N155" s="153"/>
    </row>
    <row r="156" spans="1:14" s="147" customFormat="1" ht="15.75" customHeight="1">
      <c r="A156" s="171"/>
      <c r="B156" s="186"/>
      <c r="C156" s="929"/>
      <c r="D156" s="915"/>
      <c r="E156" s="914"/>
      <c r="F156" s="242" t="s">
        <v>827</v>
      </c>
      <c r="G156" s="470"/>
      <c r="H156" s="241"/>
      <c r="I156" s="243">
        <v>959850000</v>
      </c>
      <c r="J156" s="152"/>
      <c r="K156" s="153"/>
      <c r="L156" s="153"/>
      <c r="N156" s="153"/>
    </row>
    <row r="157" spans="1:14" s="147" customFormat="1" ht="15.75" customHeight="1">
      <c r="A157" s="249"/>
      <c r="B157" s="250"/>
      <c r="C157" s="924"/>
      <c r="D157" s="925"/>
      <c r="E157" s="924"/>
      <c r="F157" s="254" t="s">
        <v>147</v>
      </c>
      <c r="G157" s="462"/>
      <c r="H157" s="252"/>
      <c r="I157" s="255">
        <f>SUM(I154:I156)</f>
        <v>2890000000</v>
      </c>
      <c r="J157" s="173"/>
      <c r="K157" s="153"/>
      <c r="L157" s="153"/>
      <c r="N157" s="153"/>
    </row>
    <row r="158" spans="1:14" s="147" customFormat="1" ht="15.75" customHeight="1">
      <c r="A158" s="171" t="s">
        <v>240</v>
      </c>
      <c r="B158" s="186" t="s">
        <v>243</v>
      </c>
      <c r="C158" s="914">
        <f>+I168</f>
        <v>6000000000</v>
      </c>
      <c r="D158" s="915">
        <v>6000000000</v>
      </c>
      <c r="E158" s="914">
        <f>C158-D158</f>
        <v>0</v>
      </c>
      <c r="F158" s="187" t="s">
        <v>844</v>
      </c>
      <c r="G158" s="190"/>
      <c r="H158" s="188"/>
      <c r="I158" s="191">
        <v>2800000000</v>
      </c>
      <c r="J158" s="152"/>
      <c r="K158" s="153"/>
      <c r="L158" s="153"/>
      <c r="N158" s="153"/>
    </row>
    <row r="159" spans="1:14" s="147" customFormat="1" ht="15.75" customHeight="1">
      <c r="A159" s="171"/>
      <c r="B159" s="186"/>
      <c r="C159" s="914"/>
      <c r="D159" s="915"/>
      <c r="E159" s="914"/>
      <c r="F159" s="187" t="s">
        <v>847</v>
      </c>
      <c r="G159" s="190"/>
      <c r="H159" s="188"/>
      <c r="I159" s="191">
        <v>200000000</v>
      </c>
      <c r="J159" s="152"/>
      <c r="K159" s="153"/>
      <c r="L159" s="153"/>
      <c r="N159" s="153"/>
    </row>
    <row r="160" spans="1:14" s="147" customFormat="1" ht="15.75" customHeight="1">
      <c r="A160" s="171"/>
      <c r="B160" s="186"/>
      <c r="C160" s="914"/>
      <c r="D160" s="915"/>
      <c r="E160" s="914"/>
      <c r="F160" s="187" t="s">
        <v>837</v>
      </c>
      <c r="G160" s="190"/>
      <c r="H160" s="188"/>
      <c r="I160" s="191">
        <v>125000000</v>
      </c>
      <c r="J160" s="152"/>
      <c r="K160" s="153"/>
      <c r="L160" s="153"/>
      <c r="N160" s="153"/>
    </row>
    <row r="161" spans="1:14" s="147" customFormat="1" ht="15.75" customHeight="1">
      <c r="A161" s="171"/>
      <c r="B161" s="186"/>
      <c r="C161" s="914"/>
      <c r="D161" s="915"/>
      <c r="E161" s="914"/>
      <c r="F161" s="187" t="s">
        <v>838</v>
      </c>
      <c r="G161" s="190"/>
      <c r="H161" s="188"/>
      <c r="I161" s="191">
        <v>94000000</v>
      </c>
      <c r="J161" s="152"/>
      <c r="K161" s="153"/>
      <c r="L161" s="153"/>
      <c r="N161" s="153"/>
    </row>
    <row r="162" spans="1:14" s="147" customFormat="1" ht="15.75" customHeight="1">
      <c r="A162" s="171"/>
      <c r="B162" s="186"/>
      <c r="C162" s="914"/>
      <c r="D162" s="915"/>
      <c r="E162" s="914"/>
      <c r="F162" s="187" t="s">
        <v>839</v>
      </c>
      <c r="G162" s="190"/>
      <c r="H162" s="188"/>
      <c r="I162" s="191">
        <v>73000000</v>
      </c>
      <c r="J162" s="152"/>
      <c r="K162" s="153"/>
      <c r="L162" s="153"/>
      <c r="N162" s="153"/>
    </row>
    <row r="163" spans="1:14" s="147" customFormat="1" ht="15.75" customHeight="1">
      <c r="A163" s="171"/>
      <c r="B163" s="186"/>
      <c r="C163" s="914"/>
      <c r="D163" s="915"/>
      <c r="E163" s="914"/>
      <c r="F163" s="198" t="s">
        <v>840</v>
      </c>
      <c r="G163" s="190"/>
      <c r="H163" s="188"/>
      <c r="I163" s="191">
        <v>53900000</v>
      </c>
      <c r="J163" s="152"/>
      <c r="K163" s="153"/>
      <c r="L163" s="153"/>
      <c r="N163" s="153"/>
    </row>
    <row r="164" spans="1:14" s="147" customFormat="1" ht="15.75" customHeight="1">
      <c r="A164" s="171"/>
      <c r="B164" s="186"/>
      <c r="C164" s="914"/>
      <c r="D164" s="915"/>
      <c r="E164" s="914"/>
      <c r="F164" s="187" t="s">
        <v>846</v>
      </c>
      <c r="G164" s="190"/>
      <c r="H164" s="188"/>
      <c r="I164" s="191">
        <v>2100000000</v>
      </c>
      <c r="J164" s="152"/>
      <c r="K164" s="153"/>
      <c r="L164" s="153"/>
      <c r="N164" s="153"/>
    </row>
    <row r="165" spans="1:14" s="147" customFormat="1" ht="15.75" customHeight="1">
      <c r="A165" s="171"/>
      <c r="B165" s="186"/>
      <c r="C165" s="914"/>
      <c r="D165" s="915"/>
      <c r="E165" s="914"/>
      <c r="F165" s="721" t="s">
        <v>845</v>
      </c>
      <c r="G165" s="190"/>
      <c r="H165" s="188"/>
      <c r="I165" s="191">
        <v>450000000</v>
      </c>
      <c r="J165" s="152"/>
      <c r="K165" s="153"/>
      <c r="L165" s="153"/>
      <c r="N165" s="153"/>
    </row>
    <row r="166" spans="1:14" s="147" customFormat="1" ht="15.75" customHeight="1">
      <c r="A166" s="171"/>
      <c r="B166" s="186"/>
      <c r="C166" s="914"/>
      <c r="D166" s="915"/>
      <c r="E166" s="914"/>
      <c r="F166" s="721" t="s">
        <v>573</v>
      </c>
      <c r="G166" s="190"/>
      <c r="H166" s="188"/>
      <c r="I166" s="191">
        <v>104100000</v>
      </c>
      <c r="J166" s="152"/>
      <c r="K166" s="153"/>
      <c r="L166" s="153"/>
      <c r="N166" s="153"/>
    </row>
    <row r="167" spans="1:14" s="147" customFormat="1" ht="15.75" customHeight="1" hidden="1">
      <c r="A167" s="171"/>
      <c r="B167" s="186"/>
      <c r="C167" s="914"/>
      <c r="D167" s="915"/>
      <c r="E167" s="914"/>
      <c r="F167" s="187"/>
      <c r="G167" s="190"/>
      <c r="H167" s="188"/>
      <c r="I167" s="191"/>
      <c r="J167" s="152"/>
      <c r="K167" s="153"/>
      <c r="L167" s="153">
        <f>1637469+17400000+1945914+14378400+1000</f>
        <v>35362783</v>
      </c>
      <c r="N167" s="153"/>
    </row>
    <row r="168" spans="1:14" s="147" customFormat="1" ht="15.75" customHeight="1">
      <c r="A168" s="171"/>
      <c r="B168" s="192"/>
      <c r="C168" s="916"/>
      <c r="D168" s="918"/>
      <c r="E168" s="916"/>
      <c r="F168" s="226" t="s">
        <v>147</v>
      </c>
      <c r="G168" s="470"/>
      <c r="H168" s="227"/>
      <c r="I168" s="229">
        <f>SUM(I158:I167)</f>
        <v>6000000000</v>
      </c>
      <c r="J168" s="152">
        <v>6842743</v>
      </c>
      <c r="K168" s="153"/>
      <c r="L168" s="153"/>
      <c r="N168" s="153"/>
    </row>
    <row r="169" spans="1:14" s="147" customFormat="1" ht="15.75" customHeight="1">
      <c r="A169" s="171"/>
      <c r="B169" s="183" t="s">
        <v>244</v>
      </c>
      <c r="C169" s="923">
        <f>+I172</f>
        <v>5100000000</v>
      </c>
      <c r="D169" s="917">
        <v>5100000000</v>
      </c>
      <c r="E169" s="914">
        <f>C169-D169</f>
        <v>0</v>
      </c>
      <c r="F169" s="228" t="s">
        <v>301</v>
      </c>
      <c r="G169" s="244">
        <v>81654</v>
      </c>
      <c r="H169" s="221">
        <v>12</v>
      </c>
      <c r="I169" s="480">
        <v>4100000000</v>
      </c>
      <c r="J169" s="152">
        <f>J168-I168</f>
        <v>-5993157257</v>
      </c>
      <c r="K169" s="153"/>
      <c r="L169" s="153"/>
      <c r="N169" s="153"/>
    </row>
    <row r="170" spans="1:14" s="147" customFormat="1" ht="15.75" customHeight="1">
      <c r="A170" s="171"/>
      <c r="B170" s="186"/>
      <c r="C170" s="929"/>
      <c r="D170" s="915"/>
      <c r="E170" s="914"/>
      <c r="F170" s="228" t="s">
        <v>308</v>
      </c>
      <c r="G170" s="469">
        <v>80296</v>
      </c>
      <c r="H170" s="221">
        <v>12</v>
      </c>
      <c r="I170" s="480">
        <v>1000000000</v>
      </c>
      <c r="J170" s="152"/>
      <c r="K170" s="153"/>
      <c r="L170" s="153"/>
      <c r="N170" s="153"/>
    </row>
    <row r="171" spans="1:14" s="147" customFormat="1" ht="15.75" customHeight="1">
      <c r="A171" s="171"/>
      <c r="B171" s="186"/>
      <c r="C171" s="929"/>
      <c r="D171" s="915"/>
      <c r="E171" s="914"/>
      <c r="F171" s="228"/>
      <c r="G171" s="469"/>
      <c r="H171" s="221"/>
      <c r="I171" s="480"/>
      <c r="J171" s="152"/>
      <c r="K171" s="153"/>
      <c r="L171" s="153"/>
      <c r="N171" s="153"/>
    </row>
    <row r="172" spans="1:14" s="147" customFormat="1" ht="15.75" customHeight="1">
      <c r="A172" s="171"/>
      <c r="B172" s="186"/>
      <c r="C172" s="921"/>
      <c r="D172" s="927"/>
      <c r="E172" s="916"/>
      <c r="F172" s="226" t="s">
        <v>147</v>
      </c>
      <c r="G172" s="470"/>
      <c r="H172" s="227"/>
      <c r="I172" s="229">
        <f>SUM(I169:I171)</f>
        <v>5100000000</v>
      </c>
      <c r="J172" s="152"/>
      <c r="K172" s="153"/>
      <c r="L172" s="153"/>
      <c r="N172" s="153"/>
    </row>
    <row r="173" spans="1:14" s="147" customFormat="1" ht="15.75" customHeight="1">
      <c r="A173" s="171"/>
      <c r="B173" s="230" t="s">
        <v>245</v>
      </c>
      <c r="C173" s="909">
        <f>+I173</f>
        <v>0</v>
      </c>
      <c r="D173" s="918">
        <v>0</v>
      </c>
      <c r="E173" s="909">
        <f>C173-D173</f>
        <v>0</v>
      </c>
      <c r="F173" s="184" t="s">
        <v>342</v>
      </c>
      <c r="G173" s="189"/>
      <c r="H173" s="185"/>
      <c r="I173" s="474">
        <v>0</v>
      </c>
      <c r="J173" s="152"/>
      <c r="K173" s="153"/>
      <c r="L173" s="153"/>
      <c r="N173" s="153"/>
    </row>
    <row r="174" spans="1:14" s="147" customFormat="1" ht="15.75" customHeight="1">
      <c r="A174" s="171"/>
      <c r="B174" s="165" t="s">
        <v>246</v>
      </c>
      <c r="C174" s="909">
        <f>+I174</f>
        <v>1000000</v>
      </c>
      <c r="D174" s="910">
        <v>1000000</v>
      </c>
      <c r="E174" s="909">
        <f>C174-D174</f>
        <v>0</v>
      </c>
      <c r="F174" s="166" t="s">
        <v>302</v>
      </c>
      <c r="G174" s="459"/>
      <c r="H174" s="168"/>
      <c r="I174" s="458">
        <v>1000000</v>
      </c>
      <c r="J174" s="152"/>
      <c r="K174" s="153"/>
      <c r="L174" s="153"/>
      <c r="N174" s="153"/>
    </row>
    <row r="175" spans="1:14" s="147" customFormat="1" ht="15.75" customHeight="1">
      <c r="A175" s="171"/>
      <c r="B175" s="183" t="s">
        <v>341</v>
      </c>
      <c r="C175" s="912">
        <f>+I175</f>
        <v>0</v>
      </c>
      <c r="D175" s="910">
        <v>0</v>
      </c>
      <c r="E175" s="912">
        <v>0</v>
      </c>
      <c r="F175" s="184"/>
      <c r="G175" s="189"/>
      <c r="H175" s="185"/>
      <c r="I175" s="474"/>
      <c r="J175" s="152"/>
      <c r="K175" s="153"/>
      <c r="L175" s="153"/>
      <c r="N175" s="153"/>
    </row>
    <row r="176" spans="1:14" s="147" customFormat="1" ht="15.75" customHeight="1">
      <c r="A176" s="171"/>
      <c r="B176" s="183" t="s">
        <v>247</v>
      </c>
      <c r="C176" s="912">
        <f>+I181</f>
        <v>2200000000</v>
      </c>
      <c r="D176" s="917">
        <v>1500000000</v>
      </c>
      <c r="E176" s="912">
        <f>C176-D176</f>
        <v>700000000</v>
      </c>
      <c r="F176" s="184" t="s">
        <v>834</v>
      </c>
      <c r="G176" s="472"/>
      <c r="H176" s="185"/>
      <c r="I176" s="474">
        <v>1500000000</v>
      </c>
      <c r="J176" s="152"/>
      <c r="K176" s="153"/>
      <c r="L176" s="153"/>
      <c r="N176" s="153"/>
    </row>
    <row r="177" spans="1:14" s="147" customFormat="1" ht="15.75" customHeight="1">
      <c r="A177" s="171"/>
      <c r="B177" s="186"/>
      <c r="C177" s="914"/>
      <c r="D177" s="915"/>
      <c r="E177" s="914"/>
      <c r="F177" s="187" t="s">
        <v>835</v>
      </c>
      <c r="G177" s="481"/>
      <c r="H177" s="188"/>
      <c r="I177" s="191">
        <v>200000000</v>
      </c>
      <c r="J177" s="152"/>
      <c r="K177" s="153"/>
      <c r="L177" s="153"/>
      <c r="N177" s="153"/>
    </row>
    <row r="178" spans="1:14" s="147" customFormat="1" ht="15.75" customHeight="1">
      <c r="A178" s="171"/>
      <c r="B178" s="186"/>
      <c r="C178" s="914"/>
      <c r="D178" s="915">
        <v>0</v>
      </c>
      <c r="E178" s="914"/>
      <c r="F178" s="187" t="s">
        <v>836</v>
      </c>
      <c r="G178" s="190"/>
      <c r="H178" s="188"/>
      <c r="I178" s="191">
        <v>500000000</v>
      </c>
      <c r="J178" s="152"/>
      <c r="K178" s="153"/>
      <c r="L178" s="153"/>
      <c r="N178" s="153"/>
    </row>
    <row r="179" spans="1:14" s="147" customFormat="1" ht="15.75" customHeight="1">
      <c r="A179" s="171"/>
      <c r="B179" s="186"/>
      <c r="C179" s="914"/>
      <c r="D179" s="915"/>
      <c r="E179" s="914"/>
      <c r="F179" s="187"/>
      <c r="G179" s="190"/>
      <c r="H179" s="188"/>
      <c r="I179" s="191"/>
      <c r="J179" s="152"/>
      <c r="K179" s="153"/>
      <c r="L179" s="153"/>
      <c r="N179" s="153"/>
    </row>
    <row r="180" spans="1:14" s="147" customFormat="1" ht="15.75" customHeight="1">
      <c r="A180" s="171"/>
      <c r="B180" s="186"/>
      <c r="C180" s="914"/>
      <c r="D180" s="915">
        <v>0</v>
      </c>
      <c r="E180" s="914"/>
      <c r="F180" s="228"/>
      <c r="G180" s="190"/>
      <c r="H180" s="188"/>
      <c r="I180" s="191"/>
      <c r="J180" s="152"/>
      <c r="K180" s="153"/>
      <c r="L180" s="153"/>
      <c r="N180" s="153"/>
    </row>
    <row r="181" spans="1:14" s="147" customFormat="1" ht="15.75" customHeight="1">
      <c r="A181" s="178"/>
      <c r="B181" s="192"/>
      <c r="C181" s="916"/>
      <c r="D181" s="915">
        <v>0</v>
      </c>
      <c r="E181" s="916"/>
      <c r="F181" s="226" t="s">
        <v>147</v>
      </c>
      <c r="G181" s="460"/>
      <c r="H181" s="182"/>
      <c r="I181" s="473">
        <f>SUM(I176:I180)</f>
        <v>2200000000</v>
      </c>
      <c r="J181" s="152"/>
      <c r="K181" s="153"/>
      <c r="L181" s="153"/>
      <c r="N181" s="153"/>
    </row>
    <row r="182" spans="1:14" s="147" customFormat="1" ht="15.75" customHeight="1">
      <c r="A182" s="178" t="s">
        <v>819</v>
      </c>
      <c r="B182" s="192"/>
      <c r="C182" s="916"/>
      <c r="D182" s="910"/>
      <c r="E182" s="916"/>
      <c r="F182" s="226"/>
      <c r="G182" s="460"/>
      <c r="H182" s="182"/>
      <c r="I182" s="473"/>
      <c r="J182" s="152"/>
      <c r="K182" s="153"/>
      <c r="L182" s="153"/>
      <c r="N182" s="153"/>
    </row>
    <row r="183" spans="1:14" s="147" customFormat="1" ht="15.75" customHeight="1">
      <c r="A183" s="938"/>
      <c r="B183" s="165" t="s">
        <v>820</v>
      </c>
      <c r="C183" s="916">
        <f>+I183</f>
        <v>275000000</v>
      </c>
      <c r="D183" s="915">
        <v>200000000</v>
      </c>
      <c r="E183" s="916">
        <f>C183-D183</f>
        <v>75000000</v>
      </c>
      <c r="F183" s="730" t="s">
        <v>821</v>
      </c>
      <c r="G183" s="460"/>
      <c r="H183" s="182"/>
      <c r="I183" s="473">
        <f>+'20년 추경지출(대전)'!H101</f>
        <v>275000000</v>
      </c>
      <c r="J183" s="152"/>
      <c r="K183" s="153"/>
      <c r="L183" s="153"/>
      <c r="N183" s="153"/>
    </row>
    <row r="184" spans="1:14" s="147" customFormat="1" ht="15.75" customHeight="1">
      <c r="A184" s="179" t="s">
        <v>248</v>
      </c>
      <c r="B184" s="180"/>
      <c r="C184" s="911">
        <f>SUM(C185)</f>
        <v>0</v>
      </c>
      <c r="D184" s="930">
        <v>0</v>
      </c>
      <c r="E184" s="911">
        <f>C184-D184</f>
        <v>0</v>
      </c>
      <c r="F184" s="181"/>
      <c r="G184" s="460"/>
      <c r="H184" s="182"/>
      <c r="I184" s="473"/>
      <c r="J184" s="152"/>
      <c r="K184" s="153"/>
      <c r="L184" s="153"/>
      <c r="N184" s="153"/>
    </row>
    <row r="185" spans="1:14" s="147" customFormat="1" ht="15.75" customHeight="1">
      <c r="A185" s="164" t="s">
        <v>249</v>
      </c>
      <c r="B185" s="165"/>
      <c r="C185" s="909">
        <f>SUM(C186)</f>
        <v>0</v>
      </c>
      <c r="D185" s="910">
        <v>0</v>
      </c>
      <c r="E185" s="909">
        <f>C185-D185</f>
        <v>0</v>
      </c>
      <c r="F185" s="166"/>
      <c r="G185" s="459"/>
      <c r="H185" s="168"/>
      <c r="I185" s="458"/>
      <c r="J185" s="152"/>
      <c r="K185" s="153"/>
      <c r="L185" s="153"/>
      <c r="N185" s="153"/>
    </row>
    <row r="186" spans="1:14" s="147" customFormat="1" ht="15.75" customHeight="1">
      <c r="A186" s="164"/>
      <c r="B186" s="165" t="s">
        <v>250</v>
      </c>
      <c r="C186" s="909">
        <f>+I186</f>
        <v>0</v>
      </c>
      <c r="D186" s="916">
        <v>0</v>
      </c>
      <c r="E186" s="909">
        <f>C186-D186</f>
        <v>0</v>
      </c>
      <c r="F186" s="166"/>
      <c r="G186" s="459"/>
      <c r="H186" s="168"/>
      <c r="I186" s="458"/>
      <c r="J186" s="152"/>
      <c r="K186" s="153"/>
      <c r="L186" s="153"/>
      <c r="N186" s="153"/>
    </row>
    <row r="187" spans="1:15" s="147" customFormat="1" ht="15.75" customHeight="1">
      <c r="A187" s="179" t="s">
        <v>251</v>
      </c>
      <c r="B187" s="180"/>
      <c r="C187" s="911">
        <f>SUM(C188+C191)</f>
        <v>430000000</v>
      </c>
      <c r="D187" s="928">
        <v>0</v>
      </c>
      <c r="E187" s="928">
        <f>C187-D187</f>
        <v>430000000</v>
      </c>
      <c r="F187" s="181"/>
      <c r="G187" s="460"/>
      <c r="H187" s="182"/>
      <c r="I187" s="473"/>
      <c r="J187" s="152"/>
      <c r="K187" s="153"/>
      <c r="L187" s="153"/>
      <c r="N187" s="153"/>
      <c r="O187" s="150"/>
    </row>
    <row r="188" spans="1:14" s="147" customFormat="1" ht="15.75" customHeight="1">
      <c r="A188" s="164" t="s">
        <v>252</v>
      </c>
      <c r="B188" s="165"/>
      <c r="C188" s="909">
        <f>SUM(C189:C190)</f>
        <v>0</v>
      </c>
      <c r="D188" s="909">
        <v>0</v>
      </c>
      <c r="E188" s="909">
        <f aca="true" t="shared" si="8" ref="E188:E196">C188-D188</f>
        <v>0</v>
      </c>
      <c r="F188" s="166"/>
      <c r="G188" s="459"/>
      <c r="H188" s="168"/>
      <c r="I188" s="458"/>
      <c r="J188" s="152"/>
      <c r="K188" s="153"/>
      <c r="L188" s="153"/>
      <c r="N188" s="153"/>
    </row>
    <row r="189" spans="1:14" s="147" customFormat="1" ht="15.75" customHeight="1">
      <c r="A189" s="170"/>
      <c r="B189" s="165" t="s">
        <v>253</v>
      </c>
      <c r="C189" s="909">
        <f>+I189</f>
        <v>0</v>
      </c>
      <c r="D189" s="909">
        <v>0</v>
      </c>
      <c r="E189" s="909">
        <f t="shared" si="8"/>
        <v>0</v>
      </c>
      <c r="F189" s="168"/>
      <c r="G189" s="459"/>
      <c r="H189" s="168"/>
      <c r="I189" s="458"/>
      <c r="J189" s="152"/>
      <c r="K189" s="153"/>
      <c r="L189" s="153"/>
      <c r="N189" s="153"/>
    </row>
    <row r="190" spans="1:14" s="147" customFormat="1" ht="15.75" customHeight="1">
      <c r="A190" s="178"/>
      <c r="B190" s="165" t="s">
        <v>254</v>
      </c>
      <c r="C190" s="909">
        <f>+I190</f>
        <v>0</v>
      </c>
      <c r="D190" s="909">
        <v>0</v>
      </c>
      <c r="E190" s="909">
        <f t="shared" si="8"/>
        <v>0</v>
      </c>
      <c r="F190" s="166"/>
      <c r="G190" s="459"/>
      <c r="H190" s="168"/>
      <c r="I190" s="458"/>
      <c r="J190" s="152"/>
      <c r="K190" s="153"/>
      <c r="L190" s="153"/>
      <c r="N190" s="153"/>
    </row>
    <row r="191" spans="1:14" s="147" customFormat="1" ht="15.75" customHeight="1">
      <c r="A191" s="178" t="s">
        <v>255</v>
      </c>
      <c r="B191" s="192"/>
      <c r="C191" s="916">
        <f>SUM(C192:C194)</f>
        <v>430000000</v>
      </c>
      <c r="D191" s="916">
        <f>SUM(D192:D194)</f>
        <v>0</v>
      </c>
      <c r="E191" s="909">
        <f t="shared" si="8"/>
        <v>430000000</v>
      </c>
      <c r="F191" s="181"/>
      <c r="G191" s="460"/>
      <c r="H191" s="182"/>
      <c r="I191" s="473"/>
      <c r="J191" s="152"/>
      <c r="K191" s="153"/>
      <c r="L191" s="153"/>
      <c r="N191" s="153"/>
    </row>
    <row r="192" spans="1:14" s="147" customFormat="1" ht="15.75" customHeight="1">
      <c r="A192" s="170"/>
      <c r="B192" s="183" t="s">
        <v>256</v>
      </c>
      <c r="C192" s="912">
        <f>+I192</f>
        <v>430000000</v>
      </c>
      <c r="D192" s="912">
        <v>0</v>
      </c>
      <c r="E192" s="912">
        <f t="shared" si="8"/>
        <v>430000000</v>
      </c>
      <c r="F192" s="184"/>
      <c r="G192" s="189"/>
      <c r="H192" s="185"/>
      <c r="I192" s="474">
        <f>+'20년 추경지출(대전)'!H107</f>
        <v>430000000</v>
      </c>
      <c r="J192" s="152">
        <f>D193</f>
        <v>0</v>
      </c>
      <c r="K192" s="153"/>
      <c r="L192" s="153"/>
      <c r="N192" s="153"/>
    </row>
    <row r="193" spans="1:14" s="147" customFormat="1" ht="15.75" customHeight="1">
      <c r="A193" s="171"/>
      <c r="B193" s="165" t="s">
        <v>257</v>
      </c>
      <c r="C193" s="909">
        <f>+I193</f>
        <v>0</v>
      </c>
      <c r="D193" s="912">
        <v>0</v>
      </c>
      <c r="E193" s="909">
        <f t="shared" si="8"/>
        <v>0</v>
      </c>
      <c r="F193" s="166"/>
      <c r="G193" s="459"/>
      <c r="H193" s="168"/>
      <c r="I193" s="458"/>
      <c r="J193" s="152"/>
      <c r="K193" s="153"/>
      <c r="L193" s="153"/>
      <c r="N193" s="153"/>
    </row>
    <row r="194" spans="1:14" s="147" customFormat="1" ht="15.75" customHeight="1">
      <c r="A194" s="171"/>
      <c r="B194" s="183" t="s">
        <v>258</v>
      </c>
      <c r="C194" s="912">
        <f>+I194</f>
        <v>0</v>
      </c>
      <c r="D194" s="912">
        <v>0</v>
      </c>
      <c r="E194" s="912">
        <f t="shared" si="8"/>
        <v>0</v>
      </c>
      <c r="F194" s="184" t="s">
        <v>20</v>
      </c>
      <c r="G194" s="189"/>
      <c r="H194" s="185"/>
      <c r="I194" s="474"/>
      <c r="J194" s="152"/>
      <c r="K194" s="153"/>
      <c r="L194" s="153"/>
      <c r="N194" s="153"/>
    </row>
    <row r="195" spans="1:14" s="147" customFormat="1" ht="15.75" customHeight="1">
      <c r="A195" s="231" t="s">
        <v>259</v>
      </c>
      <c r="B195" s="232"/>
      <c r="C195" s="932">
        <f>'2020년추경예산안수입(대전)'!C106-C5-C22-C118-C122-C129-C139-C142-C150-C184-C187</f>
        <v>62961251279.29004</v>
      </c>
      <c r="D195" s="932">
        <f>'2020년추경예산안수입(대전)'!D106-D5-D22-D118-D122-D129-D139-D142-D150-D184-D187</f>
        <v>103588000000</v>
      </c>
      <c r="E195" s="932">
        <f t="shared" si="8"/>
        <v>-40626748720.70996</v>
      </c>
      <c r="F195" s="233" t="s">
        <v>267</v>
      </c>
      <c r="G195" s="234"/>
      <c r="H195" s="235"/>
      <c r="I195" s="236">
        <f>C195</f>
        <v>62961251279.29004</v>
      </c>
      <c r="J195" s="152"/>
      <c r="K195" s="153"/>
      <c r="L195" s="153"/>
      <c r="N195" s="153"/>
    </row>
    <row r="196" spans="1:15" s="147" customFormat="1" ht="15.75" customHeight="1">
      <c r="A196" s="237" t="s">
        <v>268</v>
      </c>
      <c r="B196" s="238"/>
      <c r="C196" s="933">
        <f>SUM(C5+C22+C118+C122+C129+C139+C142+C150+C184+C187+C195)</f>
        <v>339468451279.54004</v>
      </c>
      <c r="D196" s="933">
        <f>SUM(D5+D22+D118+D122+D129+D139+D142+D150+D184+D187+D195)</f>
        <v>306036000000</v>
      </c>
      <c r="E196" s="932">
        <f t="shared" si="8"/>
        <v>33432451279.54004</v>
      </c>
      <c r="F196" s="222"/>
      <c r="G196" s="223"/>
      <c r="H196" s="224"/>
      <c r="I196" s="225"/>
      <c r="J196" s="152">
        <f>SUM(J5:J195)</f>
        <v>-5238287461</v>
      </c>
      <c r="K196" s="153"/>
      <c r="L196" s="153"/>
      <c r="N196" s="153"/>
      <c r="O196" s="150"/>
    </row>
    <row r="197" spans="1:2" ht="13.5">
      <c r="A197" s="141"/>
      <c r="B197" s="141"/>
    </row>
    <row r="198" spans="1:2" ht="13.5">
      <c r="A198" s="141"/>
      <c r="B198" s="141"/>
    </row>
    <row r="199" spans="1:4" ht="13.5">
      <c r="A199" s="141"/>
      <c r="B199" s="141"/>
      <c r="C199" s="239"/>
      <c r="D199" s="239"/>
    </row>
    <row r="201" ht="13.5">
      <c r="E201" s="144">
        <v>10000000</v>
      </c>
    </row>
    <row r="202" spans="3:7" ht="13.5">
      <c r="C202" s="240">
        <f>+D202/209</f>
        <v>2392.3444976076553</v>
      </c>
      <c r="D202" s="240">
        <f>+$E$201*E202</f>
        <v>500000</v>
      </c>
      <c r="E202" s="484">
        <v>0.05</v>
      </c>
      <c r="G202" s="144">
        <v>100000000</v>
      </c>
    </row>
    <row r="203" spans="3:5" ht="13.5">
      <c r="C203" s="240">
        <f>+D203/209</f>
        <v>1995.2153110047848</v>
      </c>
      <c r="D203" s="240">
        <f>+$E$201*E203</f>
        <v>417000</v>
      </c>
      <c r="E203" s="484">
        <v>0.0417</v>
      </c>
    </row>
    <row r="204" spans="3:12" ht="13.5">
      <c r="C204" s="240">
        <f>+D204/209</f>
        <v>5263.1578947368425</v>
      </c>
      <c r="D204" s="240">
        <f>+$E$201*E204</f>
        <v>1100000</v>
      </c>
      <c r="E204" s="483">
        <v>0.11</v>
      </c>
      <c r="L204" s="146">
        <v>2000000</v>
      </c>
    </row>
    <row r="205" ht="13.5">
      <c r="L205" s="146">
        <v>24</v>
      </c>
    </row>
    <row r="206" ht="13.5">
      <c r="L206" s="146">
        <f>+L204*L205</f>
        <v>48000000</v>
      </c>
    </row>
  </sheetData>
  <sheetProtection/>
  <mergeCells count="8">
    <mergeCell ref="L102:L114"/>
    <mergeCell ref="L24:L89"/>
    <mergeCell ref="L116:M117"/>
    <mergeCell ref="J3:J4"/>
    <mergeCell ref="C3:C4"/>
    <mergeCell ref="D3:D4"/>
    <mergeCell ref="E3:E4"/>
    <mergeCell ref="F3:I4"/>
  </mergeCells>
  <printOptions horizontalCentered="1"/>
  <pageMargins left="0.35433070866141736" right="0.35433070866141736" top="0.5905511811023623" bottom="0.5905511811023623" header="0.5118110236220472" footer="0.5118110236220472"/>
  <pageSetup fitToHeight="7" horizontalDpi="600" verticalDpi="600" orientation="portrait" paperSize="8" scale="67" r:id="rId3"/>
  <rowBreaks count="1" manualBreakCount="1">
    <brk id="100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U28"/>
  <sheetViews>
    <sheetView showGridLines="0" view="pageBreakPreview" zoomScaleSheetLayoutView="100" zoomScalePageLayoutView="0" workbookViewId="0" topLeftCell="E13">
      <selection activeCell="L9" sqref="L9"/>
    </sheetView>
  </sheetViews>
  <sheetFormatPr defaultColWidth="8.88671875" defaultRowHeight="13.5"/>
  <cols>
    <col min="1" max="1" width="4.3359375" style="92" customWidth="1"/>
    <col min="2" max="2" width="15.10546875" style="92" customWidth="1"/>
    <col min="3" max="4" width="14.3359375" style="92" customWidth="1"/>
    <col min="5" max="5" width="16.10546875" style="92" bestFit="1" customWidth="1"/>
    <col min="6" max="6" width="5.99609375" style="92" customWidth="1"/>
    <col min="7" max="7" width="31.3359375" style="92" customWidth="1"/>
    <col min="8" max="8" width="4.5546875" style="92" customWidth="1"/>
    <col min="9" max="9" width="16.77734375" style="92" customWidth="1"/>
    <col min="10" max="11" width="14.3359375" style="92" customWidth="1"/>
    <col min="12" max="12" width="11.6640625" style="92" customWidth="1"/>
    <col min="13" max="13" width="5.99609375" style="92" customWidth="1"/>
    <col min="14" max="14" width="35.21484375" style="92" customWidth="1"/>
    <col min="15" max="15" width="16.10546875" style="92" bestFit="1" customWidth="1"/>
    <col min="16" max="16" width="18.10546875" style="92" bestFit="1" customWidth="1"/>
    <col min="17" max="16384" width="8.88671875" style="92" customWidth="1"/>
  </cols>
  <sheetData>
    <row r="1" ht="55.5" customHeight="1"/>
    <row r="2" spans="1:14" ht="39" customHeight="1">
      <c r="A2" s="976" t="s">
        <v>1119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</row>
    <row r="3" spans="1:14" ht="18" customHeight="1">
      <c r="A3" s="92" t="s">
        <v>1015</v>
      </c>
      <c r="E3" s="126"/>
      <c r="N3" s="98" t="s">
        <v>285</v>
      </c>
    </row>
    <row r="4" spans="1:14" ht="22.5" customHeight="1">
      <c r="A4" s="977" t="s">
        <v>273</v>
      </c>
      <c r="B4" s="978"/>
      <c r="C4" s="981" t="s">
        <v>1030</v>
      </c>
      <c r="D4" s="981" t="s">
        <v>1031</v>
      </c>
      <c r="E4" s="978" t="s">
        <v>274</v>
      </c>
      <c r="F4" s="978" t="s">
        <v>275</v>
      </c>
      <c r="G4" s="983" t="s">
        <v>276</v>
      </c>
      <c r="H4" s="985" t="s">
        <v>273</v>
      </c>
      <c r="I4" s="978"/>
      <c r="J4" s="981" t="str">
        <f>+C4</f>
        <v>2020년 추경예산</v>
      </c>
      <c r="K4" s="981" t="str">
        <f>+D4</f>
        <v>2020년 본예산</v>
      </c>
      <c r="L4" s="978" t="s">
        <v>1016</v>
      </c>
      <c r="M4" s="978" t="s">
        <v>1017</v>
      </c>
      <c r="N4" s="983" t="s">
        <v>1018</v>
      </c>
    </row>
    <row r="5" spans="1:14" ht="22.5" customHeight="1">
      <c r="A5" s="979"/>
      <c r="B5" s="980"/>
      <c r="C5" s="982"/>
      <c r="D5" s="982"/>
      <c r="E5" s="980"/>
      <c r="F5" s="980"/>
      <c r="G5" s="984"/>
      <c r="H5" s="986"/>
      <c r="I5" s="980"/>
      <c r="J5" s="982"/>
      <c r="K5" s="982"/>
      <c r="L5" s="980"/>
      <c r="M5" s="980"/>
      <c r="N5" s="984"/>
    </row>
    <row r="6" spans="1:18" ht="65.25" customHeight="1">
      <c r="A6" s="967" t="s">
        <v>1019</v>
      </c>
      <c r="B6" s="99" t="s">
        <v>1020</v>
      </c>
      <c r="C6" s="113">
        <f>'2020년추경예산안수입 (의정부)'!C7</f>
        <v>0</v>
      </c>
      <c r="D6" s="113">
        <f>+'2020년추경예산안수입 (의정부)'!D7</f>
        <v>0</v>
      </c>
      <c r="E6" s="114">
        <f>C6-D6</f>
        <v>0</v>
      </c>
      <c r="F6" s="839">
        <f>C6/$C$17</f>
        <v>0</v>
      </c>
      <c r="G6" s="104"/>
      <c r="H6" s="969" t="s">
        <v>277</v>
      </c>
      <c r="I6" s="99" t="s">
        <v>278</v>
      </c>
      <c r="J6" s="113">
        <f>'20년 추경지출(의정부)'!H7</f>
        <v>9800000000</v>
      </c>
      <c r="K6" s="113">
        <f>+'20년 추경지출(의정부)'!D7</f>
        <v>16000000000</v>
      </c>
      <c r="L6" s="113">
        <f>J6-K6</f>
        <v>-6200000000</v>
      </c>
      <c r="M6" s="839">
        <f aca="true" t="shared" si="0" ref="M6:M13">J6/$J$17</f>
        <v>0.07669620754128909</v>
      </c>
      <c r="N6" s="101" t="s">
        <v>1149</v>
      </c>
      <c r="O6" s="117"/>
      <c r="P6" s="92">
        <f>500000+3737000+9436000+1040000+2161000+426000+66161000+7915000</f>
        <v>91376000</v>
      </c>
      <c r="Q6" s="92">
        <v>91376000</v>
      </c>
      <c r="R6" s="92">
        <f>+Q6-P6</f>
        <v>0</v>
      </c>
    </row>
    <row r="7" spans="1:21" ht="111.75" customHeight="1">
      <c r="A7" s="967"/>
      <c r="B7" s="99" t="s">
        <v>279</v>
      </c>
      <c r="C7" s="113">
        <f>+'2020년추경예산안수입 (의정부)'!C14</f>
        <v>0</v>
      </c>
      <c r="D7" s="113">
        <f>+'2020년추경예산안수입 (의정부)'!D14</f>
        <v>0</v>
      </c>
      <c r="E7" s="114">
        <f aca="true" t="shared" si="1" ref="E7:E16">C7-D7</f>
        <v>0</v>
      </c>
      <c r="F7" s="839">
        <f>C7/$C$17</f>
        <v>0</v>
      </c>
      <c r="G7" s="104"/>
      <c r="H7" s="970"/>
      <c r="I7" s="99" t="s">
        <v>1021</v>
      </c>
      <c r="J7" s="113">
        <f>'20년 추경지출(의정부)'!H25</f>
        <v>6143310000</v>
      </c>
      <c r="K7" s="113">
        <f>'20년 추경지출(의정부)'!D25</f>
        <v>0</v>
      </c>
      <c r="L7" s="113">
        <f aca="true" t="shared" si="2" ref="L7:L16">J7-K7</f>
        <v>6143310000</v>
      </c>
      <c r="M7" s="839">
        <f t="shared" si="0"/>
        <v>0.048078426403109865</v>
      </c>
      <c r="N7" s="102" t="s">
        <v>1128</v>
      </c>
      <c r="O7" s="116">
        <f>32000000/204255024</f>
        <v>0.15666689305032713</v>
      </c>
      <c r="P7" s="116">
        <f>18401000/204255024</f>
        <v>0.09008835934434592</v>
      </c>
      <c r="Q7" s="116">
        <f>10000000/204255024</f>
        <v>0.04895840407822723</v>
      </c>
      <c r="S7" s="92">
        <f>32000000+18401000+10000000+1610000+2075000+2075000</f>
        <v>66161000</v>
      </c>
      <c r="T7" s="92">
        <v>66161000</v>
      </c>
      <c r="U7" s="92">
        <f>+T7-S7</f>
        <v>0</v>
      </c>
    </row>
    <row r="8" spans="1:16" ht="47.25" customHeight="1">
      <c r="A8" s="967"/>
      <c r="B8" s="99" t="s">
        <v>1022</v>
      </c>
      <c r="C8" s="113">
        <f>+'2020년추경예산안수입 (의정부)'!C20</f>
        <v>26736412</v>
      </c>
      <c r="D8" s="113">
        <f>+'2020년추경예산안수입 (의정부)'!D20</f>
        <v>0</v>
      </c>
      <c r="E8" s="114">
        <f t="shared" si="1"/>
        <v>26736412</v>
      </c>
      <c r="F8" s="839">
        <f>C8/$C$17</f>
        <v>0.00020924300037361348</v>
      </c>
      <c r="G8" s="104"/>
      <c r="H8" s="970"/>
      <c r="I8" s="99" t="s">
        <v>280</v>
      </c>
      <c r="J8" s="113">
        <f>'20년 추경지출(의정부)'!H62+'20년 추경지출(의정부)'!H65+'20년 추경지출(의정부)'!H70</f>
        <v>1000000000</v>
      </c>
      <c r="K8" s="113">
        <f>+'20년 추경지출(의정부)'!D62+'20년 추경지출(의정부)'!D65+'20년 추경지출(의정부)'!D70</f>
        <v>3000000000</v>
      </c>
      <c r="L8" s="113">
        <f t="shared" si="2"/>
        <v>-2000000000</v>
      </c>
      <c r="M8" s="839">
        <f t="shared" si="0"/>
        <v>0.007826143626662152</v>
      </c>
      <c r="N8" s="103" t="s">
        <v>1121</v>
      </c>
      <c r="P8" s="127">
        <f>2864000+1700000</f>
        <v>4564000</v>
      </c>
    </row>
    <row r="9" spans="1:16" ht="64.5" customHeight="1">
      <c r="A9" s="967"/>
      <c r="B9" s="972" t="s">
        <v>281</v>
      </c>
      <c r="C9" s="963">
        <f>+'2020년추경예산안수입 (의정부)'!C30</f>
        <v>0</v>
      </c>
      <c r="D9" s="963">
        <f>+'2020년추경예산안수입 (의정부)'!D30</f>
        <v>0</v>
      </c>
      <c r="E9" s="974">
        <f t="shared" si="1"/>
        <v>0</v>
      </c>
      <c r="F9" s="965">
        <f>C9/$C$17</f>
        <v>0</v>
      </c>
      <c r="G9" s="959"/>
      <c r="H9" s="970"/>
      <c r="I9" s="99" t="s">
        <v>282</v>
      </c>
      <c r="J9" s="113">
        <f>'20년 추경지출(의정부)'!H73</f>
        <v>0</v>
      </c>
      <c r="K9" s="113">
        <f>'20년 추경지출(의정부)'!D73</f>
        <v>0</v>
      </c>
      <c r="L9" s="118">
        <f t="shared" si="2"/>
        <v>0</v>
      </c>
      <c r="M9" s="839">
        <f t="shared" si="0"/>
        <v>0</v>
      </c>
      <c r="N9" s="104"/>
      <c r="O9" s="92">
        <f>6300000+19750412+1034287+1000000+1301800+228000+1315310</f>
        <v>30929809</v>
      </c>
      <c r="P9" s="116"/>
    </row>
    <row r="10" spans="1:14" ht="24.75" customHeight="1">
      <c r="A10" s="967"/>
      <c r="B10" s="973"/>
      <c r="C10" s="964"/>
      <c r="D10" s="964"/>
      <c r="E10" s="975"/>
      <c r="F10" s="966"/>
      <c r="G10" s="960"/>
      <c r="H10" s="970"/>
      <c r="I10" s="99" t="s">
        <v>283</v>
      </c>
      <c r="J10" s="113">
        <f>'20년 추경지출(의정부)'!H78</f>
        <v>2000000000</v>
      </c>
      <c r="K10" s="113">
        <f>'20년 추경지출(의정부)'!D78</f>
        <v>0</v>
      </c>
      <c r="L10" s="113">
        <f t="shared" si="2"/>
        <v>2000000000</v>
      </c>
      <c r="M10" s="839">
        <f t="shared" si="0"/>
        <v>0.015652287253324303</v>
      </c>
      <c r="N10" s="104"/>
    </row>
    <row r="11" spans="1:15" ht="24.75" customHeight="1">
      <c r="A11" s="967"/>
      <c r="B11" s="99" t="s">
        <v>284</v>
      </c>
      <c r="C11" s="113">
        <f>+'2020년추경예산안수입 (의정부)'!C42</f>
        <v>0</v>
      </c>
      <c r="D11" s="113">
        <f>+'2020년추경예산안수입 (의정부)'!D42</f>
        <v>0</v>
      </c>
      <c r="E11" s="114">
        <f t="shared" si="1"/>
        <v>0</v>
      </c>
      <c r="F11" s="839">
        <f>C11/$C$17</f>
        <v>0</v>
      </c>
      <c r="G11" s="104"/>
      <c r="H11" s="970"/>
      <c r="I11" s="1045" t="s">
        <v>1023</v>
      </c>
      <c r="J11" s="963">
        <f>'20년 추경지출(의정부)'!H81</f>
        <v>-66773000000</v>
      </c>
      <c r="K11" s="963">
        <f>'20년 추경지출(의정부)'!D81</f>
        <v>0</v>
      </c>
      <c r="L11" s="1047">
        <f t="shared" si="2"/>
        <v>-66773000000</v>
      </c>
      <c r="M11" s="965">
        <f t="shared" si="0"/>
        <v>-0.5225750883831118</v>
      </c>
      <c r="N11" s="957"/>
      <c r="O11" s="94"/>
    </row>
    <row r="12" spans="1:15" ht="24.75" customHeight="1">
      <c r="A12" s="967"/>
      <c r="B12" s="99" t="s">
        <v>1086</v>
      </c>
      <c r="C12" s="113"/>
      <c r="D12" s="113"/>
      <c r="E12" s="114"/>
      <c r="F12" s="839"/>
      <c r="G12" s="104"/>
      <c r="H12" s="970"/>
      <c r="I12" s="1046"/>
      <c r="J12" s="964"/>
      <c r="K12" s="964"/>
      <c r="L12" s="1048"/>
      <c r="M12" s="966"/>
      <c r="N12" s="958"/>
      <c r="O12" s="94"/>
    </row>
    <row r="13" spans="1:16" ht="105" customHeight="1">
      <c r="A13" s="967"/>
      <c r="B13" s="1045" t="s">
        <v>1024</v>
      </c>
      <c r="C13" s="963">
        <f>+'2020년추경예산안수입 (의정부)'!C52</f>
        <v>110890000000</v>
      </c>
      <c r="D13" s="963">
        <f>+'2020년추경예산안수입 (의정부)'!D52</f>
        <v>170000000000</v>
      </c>
      <c r="E13" s="974">
        <f t="shared" si="1"/>
        <v>-59110000000</v>
      </c>
      <c r="F13" s="965">
        <f>C13/$C$17</f>
        <v>0.867841066760566</v>
      </c>
      <c r="G13" s="1049"/>
      <c r="H13" s="970"/>
      <c r="I13" s="1045" t="s">
        <v>1025</v>
      </c>
      <c r="J13" s="963">
        <f>'20년 추경지출(의정부)'!H89</f>
        <v>170000000000</v>
      </c>
      <c r="K13" s="963">
        <f>'20년 추경지출(의정부)'!D89</f>
        <v>280000000000</v>
      </c>
      <c r="L13" s="1047">
        <f t="shared" si="2"/>
        <v>-110000000000</v>
      </c>
      <c r="M13" s="965">
        <f t="shared" si="0"/>
        <v>1.3304444165325657</v>
      </c>
      <c r="N13" s="959" t="s">
        <v>1129</v>
      </c>
      <c r="O13" s="92">
        <f>3580500+1476500+31000+5000000+400000+1500000+110191153+1500000+40000+200000+908318+1000</f>
        <v>124828471</v>
      </c>
      <c r="P13" s="526">
        <f>+O13-124828471</f>
        <v>0</v>
      </c>
    </row>
    <row r="14" spans="1:16" ht="33" customHeight="1">
      <c r="A14" s="967"/>
      <c r="B14" s="1046"/>
      <c r="C14" s="964"/>
      <c r="D14" s="964"/>
      <c r="E14" s="975"/>
      <c r="F14" s="966"/>
      <c r="G14" s="1050"/>
      <c r="H14" s="970"/>
      <c r="I14" s="1046"/>
      <c r="J14" s="964"/>
      <c r="K14" s="964"/>
      <c r="L14" s="1048"/>
      <c r="M14" s="966"/>
      <c r="N14" s="960"/>
      <c r="P14" s="526"/>
    </row>
    <row r="15" spans="1:16" ht="33" customHeight="1">
      <c r="A15" s="967"/>
      <c r="B15" s="99" t="s">
        <v>1026</v>
      </c>
      <c r="C15" s="113">
        <f>+'2020년추경예산안수입 (의정부)'!C59</f>
        <v>15000000000</v>
      </c>
      <c r="D15" s="113">
        <f>+'2020년추경예산안수입 (의정부)'!D59</f>
        <v>30000000000</v>
      </c>
      <c r="E15" s="114">
        <f>C15-D15</f>
        <v>-15000000000</v>
      </c>
      <c r="F15" s="839">
        <f>C15/$C$17</f>
        <v>0.11739215439993228</v>
      </c>
      <c r="G15" s="105"/>
      <c r="H15" s="970"/>
      <c r="I15" s="835" t="s">
        <v>1115</v>
      </c>
      <c r="J15" s="832">
        <v>0</v>
      </c>
      <c r="K15" s="832">
        <v>0</v>
      </c>
      <c r="L15" s="832">
        <v>0</v>
      </c>
      <c r="M15" s="839">
        <f>J15/$J$17</f>
        <v>0</v>
      </c>
      <c r="N15" s="833"/>
      <c r="P15" s="526"/>
    </row>
    <row r="16" spans="1:16" ht="34.5" customHeight="1">
      <c r="A16" s="967"/>
      <c r="B16" s="99" t="s">
        <v>1027</v>
      </c>
      <c r="C16" s="113">
        <f>+'2020년추경예산안수입 (의정부)'!C61</f>
        <v>1860116110</v>
      </c>
      <c r="D16" s="113">
        <f>+'[3]수입 (의정부)'!D61</f>
        <v>3293000000</v>
      </c>
      <c r="E16" s="114">
        <f t="shared" si="1"/>
        <v>-1432883890</v>
      </c>
      <c r="F16" s="839">
        <f>C16/$C$17</f>
        <v>0.014557535839128093</v>
      </c>
      <c r="G16" s="104" t="s">
        <v>1087</v>
      </c>
      <c r="H16" s="970"/>
      <c r="I16" s="99" t="s">
        <v>1028</v>
      </c>
      <c r="J16" s="113">
        <f>C17-J6-J7-J8-J9-J10-J11-J13</f>
        <v>5606542522</v>
      </c>
      <c r="K16" s="113">
        <f>D17-K6-K7-K8-K9-K10-K11-K13</f>
        <v>-95707000000</v>
      </c>
      <c r="L16" s="113">
        <f t="shared" si="2"/>
        <v>101313542522</v>
      </c>
      <c r="M16" s="839">
        <f>J16/$J$17</f>
        <v>0.04387760702616065</v>
      </c>
      <c r="N16" s="815" t="s">
        <v>1120</v>
      </c>
      <c r="O16" s="139"/>
      <c r="P16" s="526">
        <v>400000</v>
      </c>
    </row>
    <row r="17" spans="1:16" ht="29.25" customHeight="1">
      <c r="A17" s="968"/>
      <c r="B17" s="100" t="s">
        <v>1029</v>
      </c>
      <c r="C17" s="115">
        <f>SUM(C6:C16)</f>
        <v>127776852522</v>
      </c>
      <c r="D17" s="115">
        <f>SUM(D6:D16)</f>
        <v>203293000000</v>
      </c>
      <c r="E17" s="115">
        <f>SUM(E6:E16)</f>
        <v>-75516147478</v>
      </c>
      <c r="F17" s="840">
        <v>1</v>
      </c>
      <c r="G17" s="93"/>
      <c r="H17" s="971"/>
      <c r="I17" s="100" t="s">
        <v>1029</v>
      </c>
      <c r="J17" s="115">
        <f>SUM(J6:J16)</f>
        <v>127776852522</v>
      </c>
      <c r="K17" s="115">
        <f>SUM(K6:K16)</f>
        <v>203293000000</v>
      </c>
      <c r="L17" s="115">
        <f>J17-K17</f>
        <v>-75516147478</v>
      </c>
      <c r="M17" s="840">
        <f>SUM(M6:M16)</f>
        <v>0.9999999999999999</v>
      </c>
      <c r="N17" s="93"/>
      <c r="P17" s="526">
        <v>400000</v>
      </c>
    </row>
    <row r="18" spans="5:16" ht="13.5">
      <c r="E18" s="94"/>
      <c r="P18" s="526">
        <v>250000</v>
      </c>
    </row>
    <row r="19" spans="6:18" ht="13.5">
      <c r="F19" s="95"/>
      <c r="J19" s="94"/>
      <c r="K19" s="94"/>
      <c r="O19" s="522"/>
      <c r="P19" s="526">
        <v>200000</v>
      </c>
      <c r="Q19" s="522"/>
      <c r="R19" s="526">
        <v>500000</v>
      </c>
    </row>
    <row r="20" spans="12:18" ht="13.5">
      <c r="L20" s="139"/>
      <c r="O20" s="522"/>
      <c r="P20" s="526">
        <v>200000</v>
      </c>
      <c r="Q20" s="522"/>
      <c r="R20" s="526">
        <v>400000</v>
      </c>
    </row>
    <row r="21" spans="15:18" ht="13.5">
      <c r="O21" s="522"/>
      <c r="P21" s="526">
        <v>250000</v>
      </c>
      <c r="Q21" s="522"/>
      <c r="R21" s="526">
        <v>400000</v>
      </c>
    </row>
    <row r="22" spans="15:18" ht="13.5">
      <c r="O22" s="522"/>
      <c r="P22" s="526">
        <v>300000</v>
      </c>
      <c r="Q22" s="522"/>
      <c r="R22" s="526">
        <v>250000</v>
      </c>
    </row>
    <row r="23" spans="15:18" ht="13.5">
      <c r="O23" s="522"/>
      <c r="P23" s="526">
        <v>6800000</v>
      </c>
      <c r="Q23" s="522"/>
      <c r="R23" s="526">
        <v>200000</v>
      </c>
    </row>
    <row r="24" spans="15:18" ht="13.5">
      <c r="O24" s="522"/>
      <c r="P24" s="526">
        <v>8100000</v>
      </c>
      <c r="Q24" s="522"/>
      <c r="R24" s="526">
        <v>200000</v>
      </c>
    </row>
    <row r="25" spans="15:18" ht="13.5">
      <c r="O25" s="522"/>
      <c r="P25" s="124">
        <v>982363161</v>
      </c>
      <c r="Q25" s="522"/>
      <c r="R25" s="526">
        <v>250000</v>
      </c>
    </row>
    <row r="26" spans="15:18" ht="13.5">
      <c r="O26" s="570"/>
      <c r="P26" s="124">
        <f>963550200+639</f>
        <v>963550839</v>
      </c>
      <c r="Q26" s="522"/>
      <c r="R26" s="526">
        <v>300000</v>
      </c>
    </row>
    <row r="27" spans="15:18" ht="13.5">
      <c r="O27" s="522"/>
      <c r="P27" s="522"/>
      <c r="Q27" s="522"/>
      <c r="R27" s="526">
        <v>6800000</v>
      </c>
    </row>
    <row r="28" spans="15:18" ht="13.5">
      <c r="O28" s="522"/>
      <c r="P28" s="522"/>
      <c r="Q28" s="522"/>
      <c r="R28" s="526">
        <v>8100000</v>
      </c>
    </row>
  </sheetData>
  <sheetProtection/>
  <mergeCells count="39">
    <mergeCell ref="A2:N2"/>
    <mergeCell ref="A4:B5"/>
    <mergeCell ref="C4:C5"/>
    <mergeCell ref="D4:D5"/>
    <mergeCell ref="E4:E5"/>
    <mergeCell ref="F4:F5"/>
    <mergeCell ref="G4:G5"/>
    <mergeCell ref="H4:I5"/>
    <mergeCell ref="J4:J5"/>
    <mergeCell ref="K4:K5"/>
    <mergeCell ref="L4:L5"/>
    <mergeCell ref="M4:M5"/>
    <mergeCell ref="N4:N5"/>
    <mergeCell ref="A6:A17"/>
    <mergeCell ref="H6:H17"/>
    <mergeCell ref="B9:B10"/>
    <mergeCell ref="C9:C10"/>
    <mergeCell ref="D9:D10"/>
    <mergeCell ref="E9:E10"/>
    <mergeCell ref="F9:F10"/>
    <mergeCell ref="B13:B14"/>
    <mergeCell ref="C13:C14"/>
    <mergeCell ref="D13:D14"/>
    <mergeCell ref="E13:E14"/>
    <mergeCell ref="F13:F14"/>
    <mergeCell ref="N13:N14"/>
    <mergeCell ref="G9:G10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N11:N12"/>
    <mergeCell ref="G13:G14"/>
  </mergeCells>
  <printOptions horizontalCentered="1"/>
  <pageMargins left="0.35433070866141736" right="0.15748031496062992" top="0.5905511811023623" bottom="0.1968503937007874" header="0.5118110236220472" footer="0.5118110236220472"/>
  <pageSetup fitToHeight="0" fitToWidth="1" horizontalDpi="600" verticalDpi="600" orientation="landscape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showGridLines="0" view="pageBreakPreview" zoomScale="85" zoomScaleSheetLayoutView="85" zoomScalePageLayoutView="0" workbookViewId="0" topLeftCell="A1">
      <selection activeCell="C65" sqref="C65:C67"/>
    </sheetView>
  </sheetViews>
  <sheetFormatPr defaultColWidth="8.88671875" defaultRowHeight="13.5"/>
  <cols>
    <col min="1" max="1" width="17.99609375" style="608" customWidth="1"/>
    <col min="2" max="2" width="17.6640625" style="608" customWidth="1"/>
    <col min="3" max="3" width="18.88671875" style="695" customWidth="1"/>
    <col min="4" max="5" width="18.3359375" style="695" bestFit="1" customWidth="1"/>
    <col min="6" max="6" width="13.10546875" style="608" customWidth="1"/>
    <col min="7" max="7" width="10.88671875" style="608" customWidth="1"/>
    <col min="8" max="8" width="7.77734375" style="608" customWidth="1"/>
    <col min="9" max="9" width="11.88671875" style="608" customWidth="1"/>
    <col min="10" max="10" width="14.21484375" style="608" hidden="1" customWidth="1"/>
    <col min="11" max="11" width="12.77734375" style="608" hidden="1" customWidth="1"/>
    <col min="12" max="12" width="12.99609375" style="609" hidden="1" customWidth="1"/>
    <col min="13" max="14" width="17.99609375" style="609" hidden="1" customWidth="1"/>
    <col min="15" max="15" width="7.77734375" style="609" hidden="1" customWidth="1"/>
    <col min="16" max="16" width="16.5546875" style="609" hidden="1" customWidth="1"/>
    <col min="17" max="17" width="15.3359375" style="608" hidden="1" customWidth="1"/>
    <col min="18" max="18" width="15.6640625" style="611" hidden="1" customWidth="1"/>
    <col min="19" max="19" width="18.5546875" style="608" hidden="1" customWidth="1"/>
    <col min="20" max="20" width="10.21484375" style="609" hidden="1" customWidth="1"/>
    <col min="21" max="21" width="18.88671875" style="608" customWidth="1"/>
    <col min="22" max="22" width="15.21484375" style="608" bestFit="1" customWidth="1"/>
    <col min="23" max="23" width="11.77734375" style="608" hidden="1" customWidth="1"/>
    <col min="24" max="29" width="0" style="608" hidden="1" customWidth="1"/>
    <col min="30" max="31" width="8.88671875" style="608" customWidth="1"/>
    <col min="32" max="32" width="15.21484375" style="608" bestFit="1" customWidth="1"/>
    <col min="33" max="35" width="8.88671875" style="608" customWidth="1"/>
    <col min="36" max="36" width="16.3359375" style="695" bestFit="1" customWidth="1"/>
    <col min="37" max="16384" width="8.88671875" style="608" customWidth="1"/>
  </cols>
  <sheetData>
    <row r="1" spans="1:18" ht="29.25" customHeight="1">
      <c r="A1" s="1010" t="s">
        <v>937</v>
      </c>
      <c r="B1" s="1010"/>
      <c r="C1" s="1010"/>
      <c r="D1" s="1010"/>
      <c r="E1" s="1010"/>
      <c r="F1" s="1010"/>
      <c r="G1" s="1010"/>
      <c r="H1" s="1010"/>
      <c r="I1" s="1010"/>
      <c r="J1" s="604"/>
      <c r="K1" s="605"/>
      <c r="L1" s="606"/>
      <c r="M1" s="606"/>
      <c r="N1" s="606"/>
      <c r="O1" s="606"/>
      <c r="P1" s="606"/>
      <c r="Q1" s="605"/>
      <c r="R1" s="607"/>
    </row>
    <row r="2" spans="1:10" ht="16.5" customHeight="1">
      <c r="A2" s="1011" t="s">
        <v>938</v>
      </c>
      <c r="B2" s="1011"/>
      <c r="C2" s="1011"/>
      <c r="D2" s="1011"/>
      <c r="E2" s="1011"/>
      <c r="F2" s="1011"/>
      <c r="G2" s="1011"/>
      <c r="H2" s="1011"/>
      <c r="I2" s="1011"/>
      <c r="J2" s="610"/>
    </row>
    <row r="3" spans="1:5" ht="19.5" customHeight="1">
      <c r="A3" s="492" t="s">
        <v>927</v>
      </c>
      <c r="B3" s="493"/>
      <c r="C3" s="614"/>
      <c r="D3" s="614"/>
      <c r="E3" s="614"/>
    </row>
    <row r="4" spans="1:16" ht="19.5" customHeight="1">
      <c r="A4" s="613" t="s">
        <v>939</v>
      </c>
      <c r="B4" s="493"/>
      <c r="C4" s="614"/>
      <c r="D4" s="614"/>
      <c r="E4" s="614"/>
      <c r="I4" s="617" t="s">
        <v>1181</v>
      </c>
      <c r="J4" s="617"/>
      <c r="P4" s="618"/>
    </row>
    <row r="5" spans="1:36" s="601" customFormat="1" ht="15.75" customHeight="1">
      <c r="A5" s="494" t="s">
        <v>940</v>
      </c>
      <c r="B5" s="495" t="s">
        <v>941</v>
      </c>
      <c r="C5" s="1012" t="s">
        <v>942</v>
      </c>
      <c r="D5" s="1012" t="s">
        <v>943</v>
      </c>
      <c r="E5" s="1012" t="s">
        <v>944</v>
      </c>
      <c r="F5" s="1014" t="s">
        <v>1</v>
      </c>
      <c r="G5" s="1014"/>
      <c r="H5" s="1014"/>
      <c r="I5" s="1015"/>
      <c r="J5" s="619"/>
      <c r="L5" s="620"/>
      <c r="M5" s="620"/>
      <c r="N5" s="620"/>
      <c r="O5" s="620"/>
      <c r="P5" s="620"/>
      <c r="R5" s="603"/>
      <c r="T5" s="620"/>
      <c r="AJ5" s="555"/>
    </row>
    <row r="6" spans="1:36" s="601" customFormat="1" ht="15.75" customHeight="1">
      <c r="A6" s="496" t="s">
        <v>2</v>
      </c>
      <c r="B6" s="497" t="s">
        <v>3</v>
      </c>
      <c r="C6" s="1013"/>
      <c r="D6" s="1013"/>
      <c r="E6" s="1013"/>
      <c r="F6" s="1016"/>
      <c r="G6" s="1016"/>
      <c r="H6" s="1016"/>
      <c r="I6" s="1017"/>
      <c r="J6" s="619"/>
      <c r="L6" s="620"/>
      <c r="M6" s="620"/>
      <c r="N6" s="620"/>
      <c r="O6" s="620"/>
      <c r="P6" s="620"/>
      <c r="R6" s="603"/>
      <c r="T6" s="620"/>
      <c r="AJ6" s="555"/>
    </row>
    <row r="7" spans="1:36" s="601" customFormat="1" ht="15.75" customHeight="1" thickBot="1">
      <c r="A7" s="498" t="s">
        <v>4</v>
      </c>
      <c r="B7" s="499"/>
      <c r="C7" s="895">
        <f>SUM(C8+C10+C12)</f>
        <v>0</v>
      </c>
      <c r="D7" s="895">
        <f>SUM(D8+D10+D12)</f>
        <v>0</v>
      </c>
      <c r="E7" s="895">
        <f aca="true" t="shared" si="0" ref="E7:E18">C7-D7</f>
        <v>0</v>
      </c>
      <c r="F7" s="501"/>
      <c r="G7" s="623"/>
      <c r="H7" s="623"/>
      <c r="I7" s="624"/>
      <c r="J7" s="625"/>
      <c r="L7" s="620"/>
      <c r="M7" s="620"/>
      <c r="N7" s="620"/>
      <c r="O7" s="620"/>
      <c r="P7" s="620"/>
      <c r="Q7" s="620"/>
      <c r="R7" s="603"/>
      <c r="T7" s="620"/>
      <c r="U7" s="626"/>
      <c r="AE7" s="601" t="s">
        <v>945</v>
      </c>
      <c r="AI7" s="601" t="s">
        <v>946</v>
      </c>
      <c r="AJ7" s="555"/>
    </row>
    <row r="8" spans="1:36" s="601" customFormat="1" ht="15.75" customHeight="1" thickTop="1">
      <c r="A8" s="502" t="s">
        <v>5</v>
      </c>
      <c r="B8" s="503"/>
      <c r="C8" s="896">
        <f>SUM(C9:C9)</f>
        <v>0</v>
      </c>
      <c r="D8" s="896">
        <f>SUM(D9:D9)</f>
        <v>0</v>
      </c>
      <c r="E8" s="896">
        <f t="shared" si="0"/>
        <v>0</v>
      </c>
      <c r="F8" s="505"/>
      <c r="G8" s="629"/>
      <c r="H8" s="629"/>
      <c r="I8" s="630"/>
      <c r="J8" s="625"/>
      <c r="L8" s="631"/>
      <c r="M8" s="632" t="s">
        <v>947</v>
      </c>
      <c r="N8" s="633"/>
      <c r="Q8" s="603" t="s">
        <v>948</v>
      </c>
      <c r="S8" s="620" t="s">
        <v>949</v>
      </c>
      <c r="AE8" s="257" t="s">
        <v>356</v>
      </c>
      <c r="AF8" s="258">
        <v>23371274187.42357</v>
      </c>
      <c r="AG8" s="125" t="e">
        <f>+AF8/#REF!</f>
        <v>#REF!</v>
      </c>
      <c r="AI8" s="601" t="s">
        <v>390</v>
      </c>
      <c r="AJ8" s="555" t="s">
        <v>391</v>
      </c>
    </row>
    <row r="9" spans="1:37" s="601" customFormat="1" ht="15.75" customHeight="1">
      <c r="A9" s="506"/>
      <c r="B9" s="820" t="s">
        <v>9</v>
      </c>
      <c r="C9" s="896">
        <v>0</v>
      </c>
      <c r="D9" s="896">
        <v>0</v>
      </c>
      <c r="E9" s="897">
        <f t="shared" si="0"/>
        <v>0</v>
      </c>
      <c r="F9" s="636"/>
      <c r="G9" s="106"/>
      <c r="H9" s="509"/>
      <c r="I9" s="107"/>
      <c r="J9" s="639">
        <v>27472107507.04499</v>
      </c>
      <c r="K9" s="640" t="e">
        <f>SUM(M9/#REF!)</f>
        <v>#REF!</v>
      </c>
      <c r="L9" s="641" t="s">
        <v>10</v>
      </c>
      <c r="M9" s="642">
        <v>20817143505</v>
      </c>
      <c r="N9" s="618"/>
      <c r="O9" s="620"/>
      <c r="P9" s="601" t="s">
        <v>950</v>
      </c>
      <c r="Q9" s="603"/>
      <c r="R9" s="601" t="s">
        <v>951</v>
      </c>
      <c r="S9" s="620">
        <v>316000</v>
      </c>
      <c r="U9" s="125">
        <v>0.3655</v>
      </c>
      <c r="V9" s="601">
        <f>$C$9*U9</f>
        <v>0</v>
      </c>
      <c r="AE9" s="259" t="s">
        <v>357</v>
      </c>
      <c r="AF9" s="260">
        <v>3656660475.2829843</v>
      </c>
      <c r="AG9" s="125" t="e">
        <f>+AF9/#REF!</f>
        <v>#REF!</v>
      </c>
      <c r="AI9" s="601" t="s">
        <v>356</v>
      </c>
      <c r="AJ9" s="555">
        <v>31624339058</v>
      </c>
      <c r="AK9" s="125" t="e">
        <f>+AJ9/#REF!</f>
        <v>#REF!</v>
      </c>
    </row>
    <row r="10" spans="1:37" s="601" customFormat="1" ht="15.75" customHeight="1">
      <c r="A10" s="514" t="s">
        <v>50</v>
      </c>
      <c r="B10" s="515"/>
      <c r="C10" s="900">
        <f>SUM(C11:C11)</f>
        <v>0</v>
      </c>
      <c r="D10" s="900">
        <f>SUM(D11:D11)</f>
        <v>0</v>
      </c>
      <c r="E10" s="896">
        <f t="shared" si="0"/>
        <v>0</v>
      </c>
      <c r="F10" s="519"/>
      <c r="G10" s="520"/>
      <c r="H10" s="520"/>
      <c r="I10" s="521"/>
      <c r="J10" s="522"/>
      <c r="L10" s="631"/>
      <c r="M10" s="632" t="s">
        <v>952</v>
      </c>
      <c r="N10" s="633"/>
      <c r="P10" s="640" t="s">
        <v>953</v>
      </c>
      <c r="Q10" s="603">
        <v>346491082</v>
      </c>
      <c r="R10" s="601" t="s">
        <v>954</v>
      </c>
      <c r="AE10" s="259" t="s">
        <v>374</v>
      </c>
      <c r="AF10" s="260">
        <v>535907782.08582056</v>
      </c>
      <c r="AG10" s="125" t="e">
        <f>+AF10/#REF!</f>
        <v>#REF!</v>
      </c>
      <c r="AI10" s="601" t="s">
        <v>373</v>
      </c>
      <c r="AJ10" s="555">
        <v>9913328600</v>
      </c>
      <c r="AK10" s="125" t="e">
        <f>+AJ10/#REF!</f>
        <v>#REF!</v>
      </c>
    </row>
    <row r="11" spans="1:37" s="601" customFormat="1" ht="15.75" customHeight="1">
      <c r="A11" s="506"/>
      <c r="B11" s="507" t="s">
        <v>955</v>
      </c>
      <c r="C11" s="897">
        <v>0</v>
      </c>
      <c r="D11" s="897">
        <v>0</v>
      </c>
      <c r="E11" s="897">
        <f t="shared" si="0"/>
        <v>0</v>
      </c>
      <c r="F11" s="661"/>
      <c r="G11" s="121"/>
      <c r="H11" s="523"/>
      <c r="I11" s="111"/>
      <c r="J11" s="648"/>
      <c r="K11" s="640" t="e">
        <f>SUM(M11/#REF!)</f>
        <v>#REF!</v>
      </c>
      <c r="L11" s="641" t="s">
        <v>10</v>
      </c>
      <c r="M11" s="642">
        <v>12050804917</v>
      </c>
      <c r="N11" s="618">
        <f>+J11*101.42%</f>
        <v>0</v>
      </c>
      <c r="O11" s="643">
        <v>0.2893935477751763</v>
      </c>
      <c r="P11" s="601" t="s">
        <v>956</v>
      </c>
      <c r="Q11" s="603">
        <v>47411373</v>
      </c>
      <c r="R11" s="601" t="s">
        <v>953</v>
      </c>
      <c r="S11" s="620">
        <v>34695107</v>
      </c>
      <c r="U11" s="125">
        <v>0.2496</v>
      </c>
      <c r="V11" s="555">
        <f>$C$11*U11</f>
        <v>0</v>
      </c>
      <c r="W11" s="640"/>
      <c r="X11" s="1009"/>
      <c r="Y11" s="1009"/>
      <c r="AE11" s="259" t="s">
        <v>375</v>
      </c>
      <c r="AF11" s="260">
        <v>1905685094.3455408</v>
      </c>
      <c r="AG11" s="125" t="e">
        <f>+AF11/#REF!</f>
        <v>#REF!</v>
      </c>
      <c r="AI11" s="601" t="s">
        <v>374</v>
      </c>
      <c r="AJ11" s="555">
        <v>3806062731</v>
      </c>
      <c r="AK11" s="125" t="e">
        <f>+AJ11/#REF!</f>
        <v>#REF!</v>
      </c>
    </row>
    <row r="12" spans="1:36" s="601" customFormat="1" ht="15.75" customHeight="1">
      <c r="A12" s="502" t="s">
        <v>61</v>
      </c>
      <c r="B12" s="503"/>
      <c r="C12" s="896">
        <f>SUM(C13)</f>
        <v>0</v>
      </c>
      <c r="D12" s="896">
        <f>SUM(D13)</f>
        <v>0</v>
      </c>
      <c r="E12" s="896">
        <f t="shared" si="0"/>
        <v>0</v>
      </c>
      <c r="F12" s="505"/>
      <c r="G12" s="530"/>
      <c r="H12" s="530"/>
      <c r="I12" s="531"/>
      <c r="J12" s="522"/>
      <c r="L12" s="620"/>
      <c r="M12" s="632" t="s">
        <v>957</v>
      </c>
      <c r="N12" s="633"/>
      <c r="O12" s="620"/>
      <c r="P12" s="601" t="s">
        <v>958</v>
      </c>
      <c r="Q12" s="620">
        <f>136126680</f>
        <v>136126680</v>
      </c>
      <c r="R12" s="601" t="s">
        <v>959</v>
      </c>
      <c r="S12" s="620">
        <v>240000</v>
      </c>
      <c r="AJ12" s="555"/>
    </row>
    <row r="13" spans="1:36" s="601" customFormat="1" ht="15.75" customHeight="1">
      <c r="A13" s="510"/>
      <c r="B13" s="507" t="s">
        <v>65</v>
      </c>
      <c r="C13" s="897">
        <v>0</v>
      </c>
      <c r="D13" s="897">
        <v>0</v>
      </c>
      <c r="E13" s="897">
        <f t="shared" si="0"/>
        <v>0</v>
      </c>
      <c r="F13" s="532"/>
      <c r="G13" s="509"/>
      <c r="H13" s="509"/>
      <c r="I13" s="107"/>
      <c r="J13" s="648"/>
      <c r="K13" s="625"/>
      <c r="L13" s="523"/>
      <c r="M13" s="522"/>
      <c r="N13" s="522"/>
      <c r="O13" s="620"/>
      <c r="P13" s="601" t="s">
        <v>960</v>
      </c>
      <c r="Q13" s="603">
        <v>82316600</v>
      </c>
      <c r="S13" s="620">
        <f>SUM(S9:S12)</f>
        <v>35251107</v>
      </c>
      <c r="U13" s="620"/>
      <c r="AJ13" s="555"/>
    </row>
    <row r="14" spans="1:36" s="601" customFormat="1" ht="15.75" customHeight="1">
      <c r="A14" s="533" t="s">
        <v>961</v>
      </c>
      <c r="B14" s="534"/>
      <c r="C14" s="903">
        <f>SUM(C15+C17)</f>
        <v>0</v>
      </c>
      <c r="D14" s="903">
        <f>SUM(D15+D17)</f>
        <v>0</v>
      </c>
      <c r="E14" s="903">
        <f t="shared" si="0"/>
        <v>0</v>
      </c>
      <c r="F14" s="993"/>
      <c r="G14" s="993"/>
      <c r="H14" s="993"/>
      <c r="I14" s="994"/>
      <c r="J14" s="680"/>
      <c r="K14" s="625"/>
      <c r="L14" s="620"/>
      <c r="M14" s="620"/>
      <c r="N14" s="620"/>
      <c r="O14" s="620"/>
      <c r="Q14" s="603"/>
      <c r="S14" s="620"/>
      <c r="U14" s="626"/>
      <c r="AJ14" s="555"/>
    </row>
    <row r="15" spans="1:36" s="601" customFormat="1" ht="15.75" customHeight="1">
      <c r="A15" s="502" t="s">
        <v>962</v>
      </c>
      <c r="B15" s="503"/>
      <c r="C15" s="896">
        <f>SUM(C16)</f>
        <v>0</v>
      </c>
      <c r="D15" s="896">
        <f>SUM(D16)</f>
        <v>0</v>
      </c>
      <c r="E15" s="896">
        <f t="shared" si="0"/>
        <v>0</v>
      </c>
      <c r="F15" s="993"/>
      <c r="G15" s="993"/>
      <c r="H15" s="993"/>
      <c r="I15" s="994"/>
      <c r="J15" s="680"/>
      <c r="K15" s="625"/>
      <c r="L15" s="620"/>
      <c r="M15" s="620"/>
      <c r="N15" s="620"/>
      <c r="O15" s="620"/>
      <c r="P15" s="620"/>
      <c r="R15" s="603"/>
      <c r="T15" s="620"/>
      <c r="AJ15" s="555"/>
    </row>
    <row r="16" spans="1:36" s="601" customFormat="1" ht="18" customHeight="1">
      <c r="A16" s="502"/>
      <c r="B16" s="503" t="s">
        <v>963</v>
      </c>
      <c r="C16" s="896">
        <v>0</v>
      </c>
      <c r="D16" s="896">
        <v>0</v>
      </c>
      <c r="E16" s="896">
        <f t="shared" si="0"/>
        <v>0</v>
      </c>
      <c r="F16" s="995"/>
      <c r="G16" s="996"/>
      <c r="H16" s="996"/>
      <c r="I16" s="997"/>
      <c r="J16" s="681"/>
      <c r="L16" s="620"/>
      <c r="M16" s="620"/>
      <c r="N16" s="620"/>
      <c r="O16" s="620"/>
      <c r="P16" s="620"/>
      <c r="R16" s="603"/>
      <c r="T16" s="620"/>
      <c r="AJ16" s="555"/>
    </row>
    <row r="17" spans="1:36" s="601" customFormat="1" ht="15.75" customHeight="1">
      <c r="A17" s="502" t="s">
        <v>73</v>
      </c>
      <c r="B17" s="503"/>
      <c r="C17" s="896">
        <f>SUM(C18:C19)</f>
        <v>0</v>
      </c>
      <c r="D17" s="896">
        <f>SUM(D18:D19)</f>
        <v>0</v>
      </c>
      <c r="E17" s="896">
        <f t="shared" si="0"/>
        <v>0</v>
      </c>
      <c r="F17" s="505"/>
      <c r="G17" s="530"/>
      <c r="H17" s="530"/>
      <c r="I17" s="531"/>
      <c r="J17" s="522"/>
      <c r="L17" s="620"/>
      <c r="M17" s="620"/>
      <c r="N17" s="620"/>
      <c r="O17" s="620"/>
      <c r="P17" s="620"/>
      <c r="R17" s="603"/>
      <c r="T17" s="620"/>
      <c r="AJ17" s="555"/>
    </row>
    <row r="18" spans="1:36" s="601" customFormat="1" ht="15.75" customHeight="1">
      <c r="A18" s="506"/>
      <c r="B18" s="507" t="s">
        <v>74</v>
      </c>
      <c r="C18" s="897">
        <v>0</v>
      </c>
      <c r="D18" s="897">
        <v>0</v>
      </c>
      <c r="E18" s="897">
        <f t="shared" si="0"/>
        <v>0</v>
      </c>
      <c r="F18" s="536"/>
      <c r="G18" s="523"/>
      <c r="H18" s="121"/>
      <c r="I18" s="111"/>
      <c r="J18" s="522"/>
      <c r="K18" s="601">
        <v>961530</v>
      </c>
      <c r="L18" s="620"/>
      <c r="M18" s="620"/>
      <c r="N18" s="620"/>
      <c r="O18" s="620"/>
      <c r="P18" s="620"/>
      <c r="R18" s="603"/>
      <c r="T18" s="620"/>
      <c r="AJ18" s="555"/>
    </row>
    <row r="19" spans="1:36" s="601" customFormat="1" ht="15.75" customHeight="1">
      <c r="A19" s="514"/>
      <c r="B19" s="820" t="s">
        <v>76</v>
      </c>
      <c r="C19" s="896">
        <v>0</v>
      </c>
      <c r="D19" s="896">
        <v>0</v>
      </c>
      <c r="E19" s="896">
        <v>0</v>
      </c>
      <c r="F19" s="519"/>
      <c r="G19" s="520"/>
      <c r="H19" s="520"/>
      <c r="I19" s="521"/>
      <c r="J19" s="522"/>
      <c r="L19" s="620"/>
      <c r="M19" s="620"/>
      <c r="N19" s="620"/>
      <c r="O19" s="620"/>
      <c r="P19" s="620"/>
      <c r="R19" s="603"/>
      <c r="T19" s="620"/>
      <c r="AJ19" s="555"/>
    </row>
    <row r="20" spans="1:36" s="601" customFormat="1" ht="15.75" customHeight="1">
      <c r="A20" s="533" t="s">
        <v>77</v>
      </c>
      <c r="B20" s="534"/>
      <c r="C20" s="903">
        <f>C21+C23+C26</f>
        <v>26736412</v>
      </c>
      <c r="D20" s="899">
        <f>D21+D23+D26</f>
        <v>0</v>
      </c>
      <c r="E20" s="903">
        <f>C20-D20</f>
        <v>26736412</v>
      </c>
      <c r="F20" s="505"/>
      <c r="G20" s="530"/>
      <c r="H20" s="530"/>
      <c r="I20" s="531"/>
      <c r="J20" s="522"/>
      <c r="L20" s="620"/>
      <c r="M20" s="620"/>
      <c r="N20" s="620"/>
      <c r="O20" s="620"/>
      <c r="P20" s="620"/>
      <c r="R20" s="603"/>
      <c r="T20" s="620"/>
      <c r="U20" s="626"/>
      <c r="AJ20" s="555"/>
    </row>
    <row r="21" spans="1:36" s="601" customFormat="1" ht="15.75" customHeight="1">
      <c r="A21" s="502" t="s">
        <v>78</v>
      </c>
      <c r="B21" s="503"/>
      <c r="C21" s="896">
        <f>SUM(C22)</f>
        <v>26736412</v>
      </c>
      <c r="D21" s="896">
        <f>SUM(D22)</f>
        <v>0</v>
      </c>
      <c r="E21" s="896">
        <v>0</v>
      </c>
      <c r="F21" s="519"/>
      <c r="G21" s="520"/>
      <c r="H21" s="520"/>
      <c r="I21" s="521"/>
      <c r="J21" s="522"/>
      <c r="L21" s="620"/>
      <c r="M21" s="620"/>
      <c r="N21" s="620"/>
      <c r="O21" s="620"/>
      <c r="P21" s="620"/>
      <c r="R21" s="603"/>
      <c r="T21" s="620"/>
      <c r="AJ21" s="555"/>
    </row>
    <row r="22" spans="1:36" s="601" customFormat="1" ht="15.75" customHeight="1" thickBot="1">
      <c r="A22" s="134"/>
      <c r="B22" s="135" t="s">
        <v>79</v>
      </c>
      <c r="C22" s="904">
        <v>26736412</v>
      </c>
      <c r="D22" s="904">
        <v>0</v>
      </c>
      <c r="E22" s="904">
        <f>C22-D22</f>
        <v>26736412</v>
      </c>
      <c r="F22" s="136"/>
      <c r="G22" s="137"/>
      <c r="H22" s="137"/>
      <c r="I22" s="455"/>
      <c r="J22" s="522"/>
      <c r="L22" s="620"/>
      <c r="M22" s="620"/>
      <c r="N22" s="620"/>
      <c r="O22" s="620"/>
      <c r="P22" s="620"/>
      <c r="R22" s="603"/>
      <c r="T22" s="620"/>
      <c r="AJ22" s="555"/>
    </row>
    <row r="23" spans="1:36" s="601" customFormat="1" ht="15.75" customHeight="1">
      <c r="A23" s="514" t="s">
        <v>81</v>
      </c>
      <c r="B23" s="515"/>
      <c r="C23" s="900">
        <f>SUM(C24:C25)</f>
        <v>0</v>
      </c>
      <c r="D23" s="900">
        <f>SUM(D24:D25)</f>
        <v>0</v>
      </c>
      <c r="E23" s="900">
        <f>SUM(E24:E24)</f>
        <v>0</v>
      </c>
      <c r="F23" s="519" t="s">
        <v>20</v>
      </c>
      <c r="G23" s="520"/>
      <c r="H23" s="520"/>
      <c r="I23" s="521"/>
      <c r="J23" s="522"/>
      <c r="L23" s="620"/>
      <c r="M23" s="620"/>
      <c r="N23" s="620"/>
      <c r="O23" s="620"/>
      <c r="P23" s="620"/>
      <c r="R23" s="603"/>
      <c r="T23" s="620"/>
      <c r="AJ23" s="555"/>
    </row>
    <row r="24" spans="1:36" s="601" customFormat="1" ht="15.75" customHeight="1">
      <c r="A24" s="510"/>
      <c r="B24" s="515" t="s">
        <v>82</v>
      </c>
      <c r="C24" s="900">
        <v>0</v>
      </c>
      <c r="D24" s="896">
        <v>0</v>
      </c>
      <c r="E24" s="900">
        <f>C24-D24</f>
        <v>0</v>
      </c>
      <c r="F24" s="248"/>
      <c r="G24" s="520"/>
      <c r="H24" s="520"/>
      <c r="I24" s="456"/>
      <c r="J24" s="522"/>
      <c r="L24" s="620"/>
      <c r="M24" s="620"/>
      <c r="N24" s="620"/>
      <c r="O24" s="620"/>
      <c r="P24" s="620"/>
      <c r="R24" s="603"/>
      <c r="T24" s="620"/>
      <c r="AJ24" s="555"/>
    </row>
    <row r="25" spans="1:36" s="601" customFormat="1" ht="15.75" customHeight="1">
      <c r="A25" s="514"/>
      <c r="B25" s="503" t="s">
        <v>964</v>
      </c>
      <c r="C25" s="896">
        <v>0</v>
      </c>
      <c r="D25" s="896">
        <v>0</v>
      </c>
      <c r="E25" s="896">
        <f>C25-D25</f>
        <v>0</v>
      </c>
      <c r="F25" s="505"/>
      <c r="G25" s="530"/>
      <c r="H25" s="530"/>
      <c r="I25" s="531"/>
      <c r="J25" s="522"/>
      <c r="L25" s="620"/>
      <c r="M25" s="620"/>
      <c r="N25" s="620"/>
      <c r="O25" s="620"/>
      <c r="P25" s="620"/>
      <c r="R25" s="603"/>
      <c r="T25" s="620"/>
      <c r="AJ25" s="555"/>
    </row>
    <row r="26" spans="1:36" s="601" customFormat="1" ht="15.75" customHeight="1">
      <c r="A26" s="502" t="s">
        <v>84</v>
      </c>
      <c r="B26" s="503"/>
      <c r="C26" s="896">
        <f>SUM(C27:C29)</f>
        <v>0</v>
      </c>
      <c r="D26" s="896">
        <f>SUM(D27:D29)</f>
        <v>0</v>
      </c>
      <c r="E26" s="896">
        <f>C26-D26</f>
        <v>0</v>
      </c>
      <c r="F26" s="505"/>
      <c r="G26" s="530"/>
      <c r="H26" s="530"/>
      <c r="I26" s="531"/>
      <c r="J26" s="522"/>
      <c r="L26" s="620"/>
      <c r="M26" s="620"/>
      <c r="N26" s="620"/>
      <c r="O26" s="620"/>
      <c r="P26" s="620"/>
      <c r="R26" s="603"/>
      <c r="T26" s="620"/>
      <c r="AJ26" s="555"/>
    </row>
    <row r="27" spans="1:36" s="601" customFormat="1" ht="15.75" customHeight="1">
      <c r="A27" s="506"/>
      <c r="B27" s="503" t="s">
        <v>85</v>
      </c>
      <c r="C27" s="896">
        <v>0</v>
      </c>
      <c r="D27" s="896">
        <v>0</v>
      </c>
      <c r="E27" s="896">
        <v>0</v>
      </c>
      <c r="F27" s="505"/>
      <c r="G27" s="530"/>
      <c r="H27" s="530"/>
      <c r="I27" s="457"/>
      <c r="J27" s="522"/>
      <c r="L27" s="620"/>
      <c r="M27" s="620"/>
      <c r="N27" s="620"/>
      <c r="O27" s="620"/>
      <c r="P27" s="620"/>
      <c r="R27" s="603"/>
      <c r="T27" s="620"/>
      <c r="AJ27" s="555"/>
    </row>
    <row r="28" spans="1:36" s="601" customFormat="1" ht="15.75" customHeight="1">
      <c r="A28" s="510"/>
      <c r="B28" s="503" t="s">
        <v>87</v>
      </c>
      <c r="C28" s="896">
        <v>0</v>
      </c>
      <c r="D28" s="896">
        <v>0</v>
      </c>
      <c r="E28" s="896">
        <v>0</v>
      </c>
      <c r="F28" s="505"/>
      <c r="G28" s="530"/>
      <c r="H28" s="530"/>
      <c r="I28" s="531"/>
      <c r="J28" s="522"/>
      <c r="L28" s="620"/>
      <c r="M28" s="620"/>
      <c r="N28" s="620"/>
      <c r="O28" s="620"/>
      <c r="P28" s="620"/>
      <c r="R28" s="603"/>
      <c r="T28" s="620"/>
      <c r="AJ28" s="555"/>
    </row>
    <row r="29" spans="1:36" s="601" customFormat="1" ht="15.75" customHeight="1">
      <c r="A29" s="514"/>
      <c r="B29" s="503" t="s">
        <v>965</v>
      </c>
      <c r="C29" s="896">
        <f>I29</f>
        <v>0</v>
      </c>
      <c r="D29" s="896">
        <f>J29</f>
        <v>0</v>
      </c>
      <c r="E29" s="897">
        <f>C29-D29</f>
        <v>0</v>
      </c>
      <c r="F29" s="505"/>
      <c r="G29" s="530"/>
      <c r="H29" s="530"/>
      <c r="I29" s="531"/>
      <c r="J29" s="522"/>
      <c r="L29" s="620"/>
      <c r="M29" s="620"/>
      <c r="N29" s="620"/>
      <c r="O29" s="620"/>
      <c r="P29" s="620"/>
      <c r="R29" s="603"/>
      <c r="T29" s="620"/>
      <c r="AJ29" s="555"/>
    </row>
    <row r="30" spans="1:36" s="601" customFormat="1" ht="15.75" customHeight="1">
      <c r="A30" s="533" t="s">
        <v>966</v>
      </c>
      <c r="B30" s="503"/>
      <c r="C30" s="903">
        <f>SUM(C31+C34+C38)</f>
        <v>0</v>
      </c>
      <c r="D30" s="903">
        <f>SUM(D31+D34+D38)</f>
        <v>0</v>
      </c>
      <c r="E30" s="903">
        <f>C30-D30</f>
        <v>0</v>
      </c>
      <c r="F30" s="505"/>
      <c r="G30" s="530"/>
      <c r="H30" s="530"/>
      <c r="I30" s="531"/>
      <c r="J30" s="522"/>
      <c r="L30" s="620"/>
      <c r="M30" s="620"/>
      <c r="N30" s="620"/>
      <c r="O30" s="620"/>
      <c r="P30" s="620"/>
      <c r="R30" s="603"/>
      <c r="T30" s="620"/>
      <c r="U30" s="626"/>
      <c r="AJ30" s="555"/>
    </row>
    <row r="31" spans="1:36" s="601" customFormat="1" ht="15.75" customHeight="1">
      <c r="A31" s="514" t="s">
        <v>90</v>
      </c>
      <c r="B31" s="515"/>
      <c r="C31" s="900">
        <f>SUM(C32:C33)</f>
        <v>0</v>
      </c>
      <c r="D31" s="900">
        <f>SUM(D32:D33)</f>
        <v>0</v>
      </c>
      <c r="E31" s="897">
        <f>C31-D31</f>
        <v>0</v>
      </c>
      <c r="F31" s="519"/>
      <c r="G31" s="520"/>
      <c r="H31" s="520"/>
      <c r="I31" s="521"/>
      <c r="J31" s="522"/>
      <c r="L31" s="620"/>
      <c r="M31" s="620"/>
      <c r="N31" s="620"/>
      <c r="O31" s="620"/>
      <c r="P31" s="620"/>
      <c r="R31" s="603"/>
      <c r="T31" s="620"/>
      <c r="AJ31" s="555"/>
    </row>
    <row r="32" spans="1:36" s="601" customFormat="1" ht="15.75" customHeight="1">
      <c r="A32" s="506"/>
      <c r="B32" s="503" t="s">
        <v>91</v>
      </c>
      <c r="C32" s="896">
        <f>I32</f>
        <v>0</v>
      </c>
      <c r="D32" s="896">
        <f>J32</f>
        <v>0</v>
      </c>
      <c r="E32" s="897">
        <f>C32-D32</f>
        <v>0</v>
      </c>
      <c r="F32" s="505"/>
      <c r="G32" s="530"/>
      <c r="H32" s="530"/>
      <c r="I32" s="531"/>
      <c r="J32" s="522"/>
      <c r="L32" s="620"/>
      <c r="M32" s="620"/>
      <c r="N32" s="620"/>
      <c r="O32" s="620"/>
      <c r="P32" s="620"/>
      <c r="R32" s="603"/>
      <c r="T32" s="620"/>
      <c r="AJ32" s="555"/>
    </row>
    <row r="33" spans="1:36" s="601" customFormat="1" ht="15.75" customHeight="1">
      <c r="A33" s="514"/>
      <c r="B33" s="503" t="s">
        <v>93</v>
      </c>
      <c r="C33" s="896">
        <v>0</v>
      </c>
      <c r="D33" s="896">
        <v>0</v>
      </c>
      <c r="E33" s="896">
        <v>0</v>
      </c>
      <c r="F33" s="505" t="s">
        <v>20</v>
      </c>
      <c r="G33" s="530"/>
      <c r="H33" s="530"/>
      <c r="I33" s="531"/>
      <c r="J33" s="522"/>
      <c r="L33" s="620"/>
      <c r="M33" s="620"/>
      <c r="N33" s="620"/>
      <c r="O33" s="620"/>
      <c r="P33" s="620"/>
      <c r="R33" s="603"/>
      <c r="T33" s="620"/>
      <c r="AJ33" s="555"/>
    </row>
    <row r="34" spans="1:36" s="601" customFormat="1" ht="15.75" customHeight="1">
      <c r="A34" s="514" t="s">
        <v>94</v>
      </c>
      <c r="B34" s="515"/>
      <c r="C34" s="900">
        <f>SUM(C35:C37)</f>
        <v>0</v>
      </c>
      <c r="D34" s="900">
        <f>SUM(D35:D37)</f>
        <v>0</v>
      </c>
      <c r="E34" s="900">
        <v>0</v>
      </c>
      <c r="F34" s="519" t="s">
        <v>20</v>
      </c>
      <c r="G34" s="520"/>
      <c r="H34" s="520"/>
      <c r="I34" s="521"/>
      <c r="J34" s="522"/>
      <c r="L34" s="620"/>
      <c r="M34" s="620"/>
      <c r="N34" s="620"/>
      <c r="O34" s="620"/>
      <c r="P34" s="620"/>
      <c r="R34" s="603"/>
      <c r="T34" s="620"/>
      <c r="AJ34" s="555"/>
    </row>
    <row r="35" spans="1:36" s="601" customFormat="1" ht="15.75" customHeight="1">
      <c r="A35" s="506"/>
      <c r="B35" s="503" t="s">
        <v>967</v>
      </c>
      <c r="C35" s="896">
        <v>0</v>
      </c>
      <c r="D35" s="896">
        <v>0</v>
      </c>
      <c r="E35" s="896">
        <v>0</v>
      </c>
      <c r="F35" s="505"/>
      <c r="G35" s="530"/>
      <c r="H35" s="530"/>
      <c r="I35" s="531"/>
      <c r="J35" s="522"/>
      <c r="L35" s="620"/>
      <c r="M35" s="620"/>
      <c r="N35" s="620"/>
      <c r="O35" s="620"/>
      <c r="P35" s="620"/>
      <c r="R35" s="603"/>
      <c r="T35" s="620"/>
      <c r="AJ35" s="555"/>
    </row>
    <row r="36" spans="1:36" s="601" customFormat="1" ht="15.75" customHeight="1">
      <c r="A36" s="510"/>
      <c r="B36" s="503" t="s">
        <v>968</v>
      </c>
      <c r="C36" s="896">
        <v>0</v>
      </c>
      <c r="D36" s="896">
        <v>0</v>
      </c>
      <c r="E36" s="896">
        <v>0</v>
      </c>
      <c r="F36" s="505" t="s">
        <v>20</v>
      </c>
      <c r="G36" s="530"/>
      <c r="H36" s="530"/>
      <c r="I36" s="531"/>
      <c r="J36" s="522"/>
      <c r="L36" s="620"/>
      <c r="M36" s="620"/>
      <c r="N36" s="620"/>
      <c r="O36" s="620"/>
      <c r="P36" s="620"/>
      <c r="R36" s="603"/>
      <c r="T36" s="620"/>
      <c r="AJ36" s="555"/>
    </row>
    <row r="37" spans="1:36" s="601" customFormat="1" ht="15.75" customHeight="1">
      <c r="A37" s="514"/>
      <c r="B37" s="503" t="s">
        <v>969</v>
      </c>
      <c r="C37" s="896">
        <v>0</v>
      </c>
      <c r="D37" s="896">
        <v>0</v>
      </c>
      <c r="E37" s="896">
        <v>0</v>
      </c>
      <c r="F37" s="505" t="s">
        <v>20</v>
      </c>
      <c r="G37" s="530"/>
      <c r="H37" s="530"/>
      <c r="I37" s="531"/>
      <c r="J37" s="522"/>
      <c r="L37" s="620"/>
      <c r="M37" s="620"/>
      <c r="N37" s="620"/>
      <c r="O37" s="620"/>
      <c r="P37" s="620"/>
      <c r="R37" s="603"/>
      <c r="T37" s="620"/>
      <c r="AJ37" s="555"/>
    </row>
    <row r="38" spans="1:36" s="601" customFormat="1" ht="15.75" customHeight="1">
      <c r="A38" s="514" t="s">
        <v>98</v>
      </c>
      <c r="B38" s="515"/>
      <c r="C38" s="900">
        <f>SUM(C39:C41)</f>
        <v>0</v>
      </c>
      <c r="D38" s="900">
        <f>SUM(D39:D41)</f>
        <v>0</v>
      </c>
      <c r="E38" s="900">
        <v>0</v>
      </c>
      <c r="F38" s="519"/>
      <c r="G38" s="520"/>
      <c r="H38" s="520"/>
      <c r="I38" s="521"/>
      <c r="J38" s="522"/>
      <c r="L38" s="620"/>
      <c r="M38" s="620"/>
      <c r="N38" s="620"/>
      <c r="O38" s="620"/>
      <c r="P38" s="620"/>
      <c r="R38" s="603"/>
      <c r="T38" s="620"/>
      <c r="AJ38" s="555"/>
    </row>
    <row r="39" spans="1:36" s="601" customFormat="1" ht="15.75" customHeight="1">
      <c r="A39" s="506"/>
      <c r="B39" s="503" t="s">
        <v>99</v>
      </c>
      <c r="C39" s="896">
        <v>0</v>
      </c>
      <c r="D39" s="896">
        <v>0</v>
      </c>
      <c r="E39" s="896">
        <v>0</v>
      </c>
      <c r="F39" s="505"/>
      <c r="G39" s="530"/>
      <c r="H39" s="530"/>
      <c r="I39" s="531"/>
      <c r="J39" s="522"/>
      <c r="L39" s="620"/>
      <c r="M39" s="620"/>
      <c r="N39" s="620"/>
      <c r="O39" s="620"/>
      <c r="P39" s="620"/>
      <c r="R39" s="603"/>
      <c r="T39" s="620"/>
      <c r="AJ39" s="555"/>
    </row>
    <row r="40" spans="1:36" s="601" customFormat="1" ht="15.75" customHeight="1">
      <c r="A40" s="510"/>
      <c r="B40" s="503" t="s">
        <v>100</v>
      </c>
      <c r="C40" s="896">
        <v>0</v>
      </c>
      <c r="D40" s="896">
        <v>0</v>
      </c>
      <c r="E40" s="896">
        <v>0</v>
      </c>
      <c r="F40" s="505"/>
      <c r="G40" s="530"/>
      <c r="H40" s="530"/>
      <c r="I40" s="531"/>
      <c r="J40" s="522"/>
      <c r="L40" s="620"/>
      <c r="M40" s="620"/>
      <c r="N40" s="620"/>
      <c r="O40" s="620"/>
      <c r="P40" s="620"/>
      <c r="R40" s="603"/>
      <c r="T40" s="620"/>
      <c r="AJ40" s="555"/>
    </row>
    <row r="41" spans="1:36" s="601" customFormat="1" ht="15.75" customHeight="1">
      <c r="A41" s="510"/>
      <c r="B41" s="507" t="s">
        <v>101</v>
      </c>
      <c r="C41" s="897">
        <v>0</v>
      </c>
      <c r="D41" s="897">
        <v>0</v>
      </c>
      <c r="E41" s="897">
        <v>0</v>
      </c>
      <c r="F41" s="543"/>
      <c r="G41" s="523" t="s">
        <v>970</v>
      </c>
      <c r="H41" s="523"/>
      <c r="I41" s="524"/>
      <c r="J41" s="522"/>
      <c r="L41" s="620"/>
      <c r="M41" s="620"/>
      <c r="N41" s="620"/>
      <c r="O41" s="620"/>
      <c r="P41" s="620"/>
      <c r="R41" s="603"/>
      <c r="T41" s="620"/>
      <c r="AJ41" s="555"/>
    </row>
    <row r="42" spans="1:36" s="601" customFormat="1" ht="15.75" customHeight="1">
      <c r="A42" s="533" t="s">
        <v>102</v>
      </c>
      <c r="B42" s="534"/>
      <c r="C42" s="903">
        <f>SUM(C43)</f>
        <v>0</v>
      </c>
      <c r="D42" s="903">
        <f>SUM(D43)</f>
        <v>0</v>
      </c>
      <c r="E42" s="903">
        <f>C42-D42</f>
        <v>0</v>
      </c>
      <c r="F42" s="505"/>
      <c r="G42" s="530"/>
      <c r="H42" s="530"/>
      <c r="I42" s="531"/>
      <c r="J42" s="522"/>
      <c r="L42" s="620"/>
      <c r="M42" s="620"/>
      <c r="N42" s="620"/>
      <c r="O42" s="620"/>
      <c r="P42" s="620"/>
      <c r="R42" s="603"/>
      <c r="T42" s="620"/>
      <c r="AJ42" s="555"/>
    </row>
    <row r="43" spans="1:36" s="601" customFormat="1" ht="15.75" customHeight="1">
      <c r="A43" s="502" t="s">
        <v>103</v>
      </c>
      <c r="B43" s="503"/>
      <c r="C43" s="896">
        <f>SUM(C44:C48)</f>
        <v>0</v>
      </c>
      <c r="D43" s="896">
        <f>SUM(D44:D48)</f>
        <v>0</v>
      </c>
      <c r="E43" s="896">
        <f>C43-D43</f>
        <v>0</v>
      </c>
      <c r="F43" s="505"/>
      <c r="G43" s="530"/>
      <c r="H43" s="530"/>
      <c r="I43" s="531"/>
      <c r="J43" s="522"/>
      <c r="L43" s="620"/>
      <c r="M43" s="620"/>
      <c r="N43" s="620"/>
      <c r="O43" s="620"/>
      <c r="P43" s="620"/>
      <c r="R43" s="603"/>
      <c r="T43" s="620"/>
      <c r="AJ43" s="555"/>
    </row>
    <row r="44" spans="1:36" s="601" customFormat="1" ht="15.75" customHeight="1">
      <c r="A44" s="506"/>
      <c r="B44" s="503" t="s">
        <v>104</v>
      </c>
      <c r="C44" s="896">
        <f>I44</f>
        <v>0</v>
      </c>
      <c r="D44" s="896">
        <f>J44</f>
        <v>0</v>
      </c>
      <c r="E44" s="896">
        <f>C44-D44</f>
        <v>0</v>
      </c>
      <c r="F44" s="505"/>
      <c r="G44" s="530"/>
      <c r="H44" s="530"/>
      <c r="I44" s="531"/>
      <c r="J44" s="522"/>
      <c r="L44" s="620"/>
      <c r="M44" s="620"/>
      <c r="N44" s="620"/>
      <c r="O44" s="620"/>
      <c r="P44" s="620"/>
      <c r="R44" s="603"/>
      <c r="T44" s="620"/>
      <c r="AJ44" s="555"/>
    </row>
    <row r="45" spans="1:36" s="601" customFormat="1" ht="15.75" customHeight="1">
      <c r="A45" s="510"/>
      <c r="B45" s="503" t="s">
        <v>105</v>
      </c>
      <c r="C45" s="896">
        <v>0</v>
      </c>
      <c r="D45" s="896">
        <v>0</v>
      </c>
      <c r="E45" s="896">
        <v>0</v>
      </c>
      <c r="F45" s="505"/>
      <c r="G45" s="530"/>
      <c r="H45" s="530"/>
      <c r="I45" s="531"/>
      <c r="J45" s="522"/>
      <c r="L45" s="620"/>
      <c r="M45" s="620"/>
      <c r="N45" s="620"/>
      <c r="O45" s="620"/>
      <c r="P45" s="620"/>
      <c r="R45" s="603"/>
      <c r="T45" s="620"/>
      <c r="AJ45" s="555"/>
    </row>
    <row r="46" spans="1:36" s="601" customFormat="1" ht="15.75" customHeight="1">
      <c r="A46" s="510"/>
      <c r="B46" s="503" t="s">
        <v>106</v>
      </c>
      <c r="C46" s="896">
        <v>0</v>
      </c>
      <c r="D46" s="896">
        <f>J46</f>
        <v>0</v>
      </c>
      <c r="E46" s="896">
        <f>C46-D46</f>
        <v>0</v>
      </c>
      <c r="F46" s="505"/>
      <c r="G46" s="530"/>
      <c r="H46" s="530"/>
      <c r="I46" s="531"/>
      <c r="J46" s="522"/>
      <c r="L46" s="620"/>
      <c r="M46" s="620"/>
      <c r="N46" s="620"/>
      <c r="O46" s="620"/>
      <c r="P46" s="620"/>
      <c r="R46" s="603"/>
      <c r="T46" s="620"/>
      <c r="AJ46" s="555"/>
    </row>
    <row r="47" spans="1:36" s="601" customFormat="1" ht="15.75" customHeight="1">
      <c r="A47" s="510"/>
      <c r="B47" s="515" t="s">
        <v>107</v>
      </c>
      <c r="C47" s="900">
        <v>0</v>
      </c>
      <c r="D47" s="900">
        <v>0</v>
      </c>
      <c r="E47" s="896">
        <f>C47-D47</f>
        <v>0</v>
      </c>
      <c r="F47" s="519"/>
      <c r="G47" s="520"/>
      <c r="H47" s="520"/>
      <c r="I47" s="521"/>
      <c r="J47" s="522"/>
      <c r="L47" s="620"/>
      <c r="M47" s="620"/>
      <c r="N47" s="620"/>
      <c r="O47" s="620"/>
      <c r="P47" s="620"/>
      <c r="R47" s="603"/>
      <c r="T47" s="620"/>
      <c r="AJ47" s="555"/>
    </row>
    <row r="48" spans="1:36" s="601" customFormat="1" ht="15.75" customHeight="1">
      <c r="A48" s="514"/>
      <c r="B48" s="503" t="s">
        <v>108</v>
      </c>
      <c r="C48" s="896">
        <v>0</v>
      </c>
      <c r="D48" s="896">
        <f>J48</f>
        <v>0</v>
      </c>
      <c r="E48" s="896">
        <f>C48-D48</f>
        <v>0</v>
      </c>
      <c r="F48" s="505"/>
      <c r="G48" s="520"/>
      <c r="H48" s="520"/>
      <c r="I48" s="521"/>
      <c r="J48" s="522"/>
      <c r="L48" s="620"/>
      <c r="M48" s="620"/>
      <c r="N48" s="620"/>
      <c r="O48" s="620"/>
      <c r="P48" s="620"/>
      <c r="R48" s="603"/>
      <c r="T48" s="620"/>
      <c r="AJ48" s="555"/>
    </row>
    <row r="49" spans="1:36" s="601" customFormat="1" ht="15.75" customHeight="1">
      <c r="A49" s="533" t="s">
        <v>109</v>
      </c>
      <c r="B49" s="503"/>
      <c r="C49" s="903">
        <f>SUM(C50)</f>
        <v>0</v>
      </c>
      <c r="D49" s="903">
        <f>SUM(D50)</f>
        <v>0</v>
      </c>
      <c r="E49" s="903">
        <v>0</v>
      </c>
      <c r="F49" s="505"/>
      <c r="G49" s="530"/>
      <c r="H49" s="530"/>
      <c r="I49" s="531"/>
      <c r="J49" s="522"/>
      <c r="L49" s="620"/>
      <c r="M49" s="620"/>
      <c r="N49" s="620"/>
      <c r="O49" s="620"/>
      <c r="P49" s="620"/>
      <c r="R49" s="603"/>
      <c r="T49" s="620"/>
      <c r="AJ49" s="555"/>
    </row>
    <row r="50" spans="1:36" s="601" customFormat="1" ht="15.75" customHeight="1">
      <c r="A50" s="514" t="s">
        <v>110</v>
      </c>
      <c r="B50" s="515"/>
      <c r="C50" s="900">
        <f>SUM(C51)</f>
        <v>0</v>
      </c>
      <c r="D50" s="900">
        <f>SUM(D51)</f>
        <v>0</v>
      </c>
      <c r="E50" s="900">
        <v>0</v>
      </c>
      <c r="F50" s="519"/>
      <c r="G50" s="520"/>
      <c r="H50" s="520"/>
      <c r="I50" s="521"/>
      <c r="J50" s="522"/>
      <c r="L50" s="620"/>
      <c r="M50" s="620"/>
      <c r="N50" s="620"/>
      <c r="O50" s="620"/>
      <c r="P50" s="620"/>
      <c r="R50" s="603"/>
      <c r="T50" s="620"/>
      <c r="AJ50" s="555"/>
    </row>
    <row r="51" spans="1:36" s="601" customFormat="1" ht="15.75" customHeight="1">
      <c r="A51" s="514"/>
      <c r="B51" s="515" t="s">
        <v>111</v>
      </c>
      <c r="C51" s="900">
        <v>0</v>
      </c>
      <c r="D51" s="900">
        <v>0</v>
      </c>
      <c r="E51" s="900">
        <v>0</v>
      </c>
      <c r="F51" s="519" t="s">
        <v>970</v>
      </c>
      <c r="G51" s="520"/>
      <c r="H51" s="520"/>
      <c r="I51" s="521" t="s">
        <v>970</v>
      </c>
      <c r="J51" s="522"/>
      <c r="L51" s="620"/>
      <c r="M51" s="620"/>
      <c r="N51" s="620"/>
      <c r="O51" s="620"/>
      <c r="P51" s="620"/>
      <c r="R51" s="603"/>
      <c r="T51" s="620"/>
      <c r="AJ51" s="555"/>
    </row>
    <row r="52" spans="1:36" s="601" customFormat="1" ht="15.75" customHeight="1">
      <c r="A52" s="544" t="s">
        <v>112</v>
      </c>
      <c r="B52" s="545"/>
      <c r="C52" s="899">
        <f>SUM(C53+C56)</f>
        <v>110890000000</v>
      </c>
      <c r="D52" s="899">
        <f>SUM(D53+D56)</f>
        <v>170000000000</v>
      </c>
      <c r="E52" s="899">
        <f>C52-D52</f>
        <v>-59110000000</v>
      </c>
      <c r="F52" s="519"/>
      <c r="G52" s="520"/>
      <c r="H52" s="520"/>
      <c r="I52" s="521"/>
      <c r="J52" s="522"/>
      <c r="L52" s="620"/>
      <c r="M52" s="620"/>
      <c r="N52" s="620"/>
      <c r="O52" s="620"/>
      <c r="P52" s="620"/>
      <c r="R52" s="603"/>
      <c r="T52" s="620"/>
      <c r="AJ52" s="555"/>
    </row>
    <row r="53" spans="1:36" s="601" customFormat="1" ht="15.75" customHeight="1">
      <c r="A53" s="506" t="s">
        <v>113</v>
      </c>
      <c r="B53" s="503"/>
      <c r="C53" s="896">
        <f>SUM(C54:C55)</f>
        <v>110000000000</v>
      </c>
      <c r="D53" s="896">
        <f>SUM(D54:D55)</f>
        <v>170000000000</v>
      </c>
      <c r="E53" s="896">
        <f>C53-D53</f>
        <v>-60000000000</v>
      </c>
      <c r="F53" s="505"/>
      <c r="G53" s="530"/>
      <c r="H53" s="530"/>
      <c r="I53" s="531"/>
      <c r="J53" s="522"/>
      <c r="L53" s="620"/>
      <c r="M53" s="620"/>
      <c r="N53" s="620"/>
      <c r="O53" s="620"/>
      <c r="P53" s="620"/>
      <c r="R53" s="603"/>
      <c r="T53" s="620"/>
      <c r="AJ53" s="555"/>
    </row>
    <row r="54" spans="1:36" s="601" customFormat="1" ht="15.75" customHeight="1">
      <c r="A54" s="510"/>
      <c r="B54" s="515" t="s">
        <v>114</v>
      </c>
      <c r="C54" s="900">
        <v>110000000000</v>
      </c>
      <c r="D54" s="905">
        <v>170000000000</v>
      </c>
      <c r="E54" s="900">
        <f>C54-D54</f>
        <v>-60000000000</v>
      </c>
      <c r="F54" s="519"/>
      <c r="G54" s="520"/>
      <c r="H54" s="520"/>
      <c r="I54" s="521"/>
      <c r="J54" s="522"/>
      <c r="L54" s="620"/>
      <c r="M54" s="620"/>
      <c r="N54" s="620"/>
      <c r="O54" s="620"/>
      <c r="P54" s="620"/>
      <c r="R54" s="603"/>
      <c r="T54" s="620"/>
      <c r="AJ54" s="555"/>
    </row>
    <row r="55" spans="1:36" s="601" customFormat="1" ht="15.75" customHeight="1" thickBot="1">
      <c r="A55" s="128"/>
      <c r="B55" s="135" t="s">
        <v>115</v>
      </c>
      <c r="C55" s="904">
        <v>0</v>
      </c>
      <c r="D55" s="904">
        <v>0</v>
      </c>
      <c r="E55" s="904">
        <v>0</v>
      </c>
      <c r="F55" s="136"/>
      <c r="G55" s="137"/>
      <c r="H55" s="137"/>
      <c r="I55" s="138"/>
      <c r="J55" s="522"/>
      <c r="L55" s="620"/>
      <c r="M55" s="620"/>
      <c r="N55" s="620"/>
      <c r="O55" s="620"/>
      <c r="P55" s="620"/>
      <c r="R55" s="603"/>
      <c r="T55" s="620"/>
      <c r="AJ55" s="555"/>
    </row>
    <row r="56" spans="1:36" s="601" customFormat="1" ht="15.75" customHeight="1">
      <c r="A56" s="514" t="s">
        <v>116</v>
      </c>
      <c r="B56" s="515"/>
      <c r="C56" s="900">
        <f>SUM(C57:C57)</f>
        <v>890000000</v>
      </c>
      <c r="D56" s="900">
        <f>SUM(D57:D57)</f>
        <v>0</v>
      </c>
      <c r="E56" s="900">
        <f aca="true" t="shared" si="1" ref="E56:E62">C56-D56</f>
        <v>890000000</v>
      </c>
      <c r="F56" s="519"/>
      <c r="G56" s="520"/>
      <c r="H56" s="520"/>
      <c r="I56" s="521"/>
      <c r="J56" s="522"/>
      <c r="L56" s="620"/>
      <c r="M56" s="620"/>
      <c r="N56" s="620"/>
      <c r="O56" s="620"/>
      <c r="P56" s="620"/>
      <c r="R56" s="603"/>
      <c r="T56" s="620"/>
      <c r="AJ56" s="555"/>
    </row>
    <row r="57" spans="1:36" s="601" customFormat="1" ht="15.75" customHeight="1">
      <c r="A57" s="514"/>
      <c r="B57" s="515" t="s">
        <v>971</v>
      </c>
      <c r="C57" s="900">
        <v>890000000</v>
      </c>
      <c r="D57" s="896">
        <v>0</v>
      </c>
      <c r="E57" s="900">
        <f t="shared" si="1"/>
        <v>890000000</v>
      </c>
      <c r="F57" s="519"/>
      <c r="G57" s="520"/>
      <c r="H57" s="520"/>
      <c r="I57" s="521"/>
      <c r="J57" s="522"/>
      <c r="L57" s="620"/>
      <c r="M57" s="620"/>
      <c r="N57" s="620"/>
      <c r="O57" s="620"/>
      <c r="P57" s="620"/>
      <c r="R57" s="603"/>
      <c r="T57" s="620"/>
      <c r="AJ57" s="555"/>
    </row>
    <row r="58" spans="1:36" s="601" customFormat="1" ht="15.75" customHeight="1">
      <c r="A58" s="544" t="s">
        <v>118</v>
      </c>
      <c r="B58" s="545"/>
      <c r="C58" s="899">
        <f>SUM(C59)</f>
        <v>15000000000</v>
      </c>
      <c r="D58" s="899">
        <f>SUM(D59)</f>
        <v>30000000000</v>
      </c>
      <c r="E58" s="899">
        <f t="shared" si="1"/>
        <v>-15000000000</v>
      </c>
      <c r="F58" s="519"/>
      <c r="G58" s="520"/>
      <c r="H58" s="520"/>
      <c r="I58" s="521"/>
      <c r="J58" s="522"/>
      <c r="L58" s="620"/>
      <c r="M58" s="620"/>
      <c r="N58" s="620"/>
      <c r="O58" s="620"/>
      <c r="P58" s="620"/>
      <c r="R58" s="603"/>
      <c r="T58" s="620"/>
      <c r="AJ58" s="555"/>
    </row>
    <row r="59" spans="1:36" s="601" customFormat="1" ht="15.75" customHeight="1">
      <c r="A59" s="502" t="s">
        <v>972</v>
      </c>
      <c r="B59" s="503"/>
      <c r="C59" s="896">
        <f>SUM(C60)</f>
        <v>15000000000</v>
      </c>
      <c r="D59" s="896">
        <f>SUM(D60)</f>
        <v>30000000000</v>
      </c>
      <c r="E59" s="900">
        <f t="shared" si="1"/>
        <v>-15000000000</v>
      </c>
      <c r="F59" s="505"/>
      <c r="G59" s="530"/>
      <c r="H59" s="530"/>
      <c r="I59" s="531"/>
      <c r="J59" s="522"/>
      <c r="L59" s="620"/>
      <c r="M59" s="620"/>
      <c r="N59" s="620"/>
      <c r="O59" s="620"/>
      <c r="P59" s="620"/>
      <c r="R59" s="603"/>
      <c r="T59" s="620"/>
      <c r="AJ59" s="555"/>
    </row>
    <row r="60" spans="1:36" s="601" customFormat="1" ht="30" customHeight="1">
      <c r="A60" s="506"/>
      <c r="B60" s="507" t="s">
        <v>973</v>
      </c>
      <c r="C60" s="897">
        <v>15000000000</v>
      </c>
      <c r="D60" s="897">
        <v>30000000000</v>
      </c>
      <c r="E60" s="900">
        <f t="shared" si="1"/>
        <v>-15000000000</v>
      </c>
      <c r="F60" s="934" t="s">
        <v>1182</v>
      </c>
      <c r="G60" s="935"/>
      <c r="H60" s="935"/>
      <c r="I60" s="936">
        <f>+C60</f>
        <v>15000000000</v>
      </c>
      <c r="J60" s="522"/>
      <c r="L60" s="620"/>
      <c r="M60" s="620"/>
      <c r="N60" s="620"/>
      <c r="O60" s="620"/>
      <c r="P60" s="620"/>
      <c r="R60" s="603"/>
      <c r="T60" s="620"/>
      <c r="AJ60" s="555"/>
    </row>
    <row r="61" spans="1:36" s="601" customFormat="1" ht="15.75" customHeight="1">
      <c r="A61" s="687" t="s">
        <v>119</v>
      </c>
      <c r="B61" s="688"/>
      <c r="C61" s="906">
        <v>1860116110</v>
      </c>
      <c r="D61" s="906">
        <v>3293000000</v>
      </c>
      <c r="E61" s="906">
        <f t="shared" si="1"/>
        <v>-1432883890</v>
      </c>
      <c r="F61" s="501" t="s">
        <v>974</v>
      </c>
      <c r="G61" s="546"/>
      <c r="H61" s="1043">
        <f>+C61</f>
        <v>1860116110</v>
      </c>
      <c r="I61" s="1044"/>
      <c r="J61" s="522"/>
      <c r="L61" s="620"/>
      <c r="M61" s="620"/>
      <c r="N61" s="620"/>
      <c r="O61" s="620"/>
      <c r="P61" s="620"/>
      <c r="R61" s="603"/>
      <c r="T61" s="620"/>
      <c r="AJ61" s="555"/>
    </row>
    <row r="62" spans="1:36" s="601" customFormat="1" ht="15.75" customHeight="1">
      <c r="A62" s="690" t="s">
        <v>120</v>
      </c>
      <c r="B62" s="548"/>
      <c r="C62" s="907">
        <f>C7+C14+C20+C30+C42+C49+C52+C58+C61</f>
        <v>127776852522</v>
      </c>
      <c r="D62" s="907">
        <f>D7+D14+D20+D30+D42+D49+D52+D58+D61</f>
        <v>203293000000</v>
      </c>
      <c r="E62" s="907">
        <f t="shared" si="1"/>
        <v>-75516147478</v>
      </c>
      <c r="F62" s="540"/>
      <c r="G62" s="541"/>
      <c r="H62" s="541"/>
      <c r="I62" s="542"/>
      <c r="J62" s="522"/>
      <c r="L62" s="620"/>
      <c r="M62" s="620"/>
      <c r="N62" s="620"/>
      <c r="O62" s="620"/>
      <c r="P62" s="620"/>
      <c r="R62" s="603"/>
      <c r="T62" s="620"/>
      <c r="AJ62" s="555"/>
    </row>
    <row r="63" spans="1:2" ht="13.5">
      <c r="A63" s="493"/>
      <c r="B63" s="493"/>
    </row>
    <row r="64" spans="1:2" ht="13.5">
      <c r="A64" s="493"/>
      <c r="B64" s="493"/>
    </row>
    <row r="65" spans="1:4" ht="13.5">
      <c r="A65" s="493"/>
      <c r="B65" s="493"/>
      <c r="C65" s="120"/>
      <c r="D65" s="120"/>
    </row>
    <row r="69" spans="1:37" s="695" customFormat="1" ht="13.5">
      <c r="A69" s="608"/>
      <c r="B69" s="608"/>
      <c r="D69" s="695">
        <v>317743000000</v>
      </c>
      <c r="F69" s="608"/>
      <c r="G69" s="608"/>
      <c r="H69" s="608"/>
      <c r="I69" s="608"/>
      <c r="J69" s="608"/>
      <c r="K69" s="608"/>
      <c r="L69" s="609"/>
      <c r="M69" s="609"/>
      <c r="N69" s="609"/>
      <c r="O69" s="609"/>
      <c r="P69" s="609"/>
      <c r="Q69" s="608"/>
      <c r="R69" s="611"/>
      <c r="S69" s="608"/>
      <c r="T69" s="609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K69" s="608"/>
    </row>
    <row r="70" spans="1:37" s="695" customFormat="1" ht="13.5">
      <c r="A70" s="608"/>
      <c r="B70" s="608"/>
      <c r="D70" s="695">
        <f>+D62-D69</f>
        <v>-114450000000</v>
      </c>
      <c r="F70" s="608"/>
      <c r="G70" s="608"/>
      <c r="H70" s="608"/>
      <c r="I70" s="608"/>
      <c r="J70" s="608"/>
      <c r="K70" s="608"/>
      <c r="L70" s="609"/>
      <c r="M70" s="609"/>
      <c r="N70" s="609"/>
      <c r="O70" s="609"/>
      <c r="P70" s="609"/>
      <c r="Q70" s="608"/>
      <c r="R70" s="611"/>
      <c r="S70" s="608"/>
      <c r="T70" s="609"/>
      <c r="U70" s="608"/>
      <c r="V70" s="608"/>
      <c r="W70" s="608"/>
      <c r="X70" s="608"/>
      <c r="Y70" s="608"/>
      <c r="Z70" s="608"/>
      <c r="AA70" s="608"/>
      <c r="AB70" s="608"/>
      <c r="AC70" s="608"/>
      <c r="AD70" s="608"/>
      <c r="AE70" s="608"/>
      <c r="AF70" s="608"/>
      <c r="AG70" s="608"/>
      <c r="AH70" s="608"/>
      <c r="AI70" s="608"/>
      <c r="AK70" s="608"/>
    </row>
  </sheetData>
  <sheetProtection/>
  <mergeCells count="11">
    <mergeCell ref="A1:I1"/>
    <mergeCell ref="A2:I2"/>
    <mergeCell ref="C5:C6"/>
    <mergeCell ref="D5:D6"/>
    <mergeCell ref="E5:E6"/>
    <mergeCell ref="F5:I6"/>
    <mergeCell ref="X11:Y11"/>
    <mergeCell ref="F14:I14"/>
    <mergeCell ref="F15:I15"/>
    <mergeCell ref="F16:I16"/>
    <mergeCell ref="H61:I61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eulji_master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eulji</dc:creator>
  <cp:keywords/>
  <dc:description/>
  <cp:lastModifiedBy>정승훈</cp:lastModifiedBy>
  <cp:lastPrinted>2021-01-14T05:29:59Z</cp:lastPrinted>
  <dcterms:created xsi:type="dcterms:W3CDTF">2010-12-15T12:50:41Z</dcterms:created>
  <dcterms:modified xsi:type="dcterms:W3CDTF">2021-02-24T01:53:43Z</dcterms:modified>
  <cp:category/>
  <cp:version/>
  <cp:contentType/>
  <cp:contentStatus/>
</cp:coreProperties>
</file>